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codeName="ThisWorkbook" defaultThemeVersion="124226"/>
  <mc:AlternateContent xmlns:mc="http://schemas.openxmlformats.org/markup-compatibility/2006">
    <mc:Choice Requires="x15">
      <x15ac:absPath xmlns:x15ac="http://schemas.microsoft.com/office/spreadsheetml/2010/11/ac" url="C:\STUART\01. Papers\2023\03. Circadian Photometry (TO SUBMIT - PLOS BIOLOGY)\Rodent Toolbox v2\"/>
    </mc:Choice>
  </mc:AlternateContent>
  <xr:revisionPtr revIDLastSave="0" documentId="13_ncr:1_{2B32C663-D461-4C6A-BD1A-570770A73B98}" xr6:coauthVersionLast="47" xr6:coauthVersionMax="47" xr10:uidLastSave="{00000000-0000-0000-0000-000000000000}"/>
  <bookViews>
    <workbookView xWindow="-120" yWindow="-120" windowWidth="29040" windowHeight="15840" activeTab="1" xr2:uid="{00000000-000D-0000-FFFF-FFFF00000000}"/>
  </bookViews>
  <sheets>
    <sheet name="INPUT" sheetId="7" r:id="rId1"/>
    <sheet name="Toolbox" sheetId="4" r:id="rId2"/>
    <sheet name="Calculations" sheetId="6" state="hidden" r:id="rId3"/>
    <sheet name="SPD" sheetId="1" state="hidden" r:id="rId4"/>
  </sheets>
  <definedNames>
    <definedName name="_xlnm.Print_Area" localSheetId="2">Calculations!$A$1:$Z$125</definedName>
    <definedName name="_xlnm.Print_Area" localSheetId="3">SPD!$A$1:$O$119</definedName>
    <definedName name="_xlnm.Print_Area" localSheetId="1">Toolbox!$A$1:$AG$108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I13" i="4" l="1"/>
  <c r="AI14" i="4"/>
  <c r="AI15" i="4"/>
  <c r="AI16" i="4"/>
  <c r="AI17" i="4"/>
  <c r="AI18" i="4"/>
  <c r="AI19" i="4"/>
  <c r="AI20" i="4"/>
  <c r="AI21" i="4"/>
  <c r="AI22" i="4"/>
  <c r="AI23" i="4"/>
  <c r="AI24" i="4"/>
  <c r="AI25" i="4"/>
  <c r="AI26" i="4"/>
  <c r="AI27" i="4"/>
  <c r="AI28" i="4"/>
  <c r="AI29" i="4"/>
  <c r="AI30" i="4"/>
  <c r="AI31" i="4"/>
  <c r="AI32" i="4"/>
  <c r="AI33" i="4"/>
  <c r="AI34" i="4"/>
  <c r="AI35" i="4"/>
  <c r="AI36" i="4"/>
  <c r="AI37" i="4"/>
  <c r="AI38" i="4"/>
  <c r="AI39" i="4"/>
  <c r="AI40" i="4"/>
  <c r="AI41" i="4"/>
  <c r="AI42" i="4"/>
  <c r="AI43" i="4"/>
  <c r="AI44" i="4"/>
  <c r="AI45" i="4"/>
  <c r="AI46" i="4"/>
  <c r="AI47" i="4"/>
  <c r="AI48" i="4"/>
  <c r="AI49" i="4"/>
  <c r="AI50" i="4"/>
  <c r="AI51" i="4"/>
  <c r="AI52" i="4"/>
  <c r="AI53" i="4"/>
  <c r="AI54" i="4"/>
  <c r="AI55" i="4"/>
  <c r="AI56" i="4"/>
  <c r="AI57" i="4"/>
  <c r="AI58" i="4"/>
  <c r="AI59" i="4"/>
  <c r="AI60" i="4"/>
  <c r="AI61" i="4"/>
  <c r="AI62" i="4"/>
  <c r="AI63" i="4"/>
  <c r="AI64" i="4"/>
  <c r="AI65" i="4"/>
  <c r="AI66" i="4"/>
  <c r="AI67" i="4"/>
  <c r="AI68" i="4"/>
  <c r="AI69" i="4"/>
  <c r="AI70" i="4"/>
  <c r="AI71" i="4"/>
  <c r="AI72" i="4"/>
  <c r="AI73" i="4"/>
  <c r="AI74" i="4"/>
  <c r="AI75" i="4"/>
  <c r="AI76" i="4"/>
  <c r="AI77" i="4"/>
  <c r="AI78" i="4"/>
  <c r="AI79" i="4"/>
  <c r="AI80" i="4"/>
  <c r="AI81" i="4"/>
  <c r="AI82" i="4"/>
  <c r="AI83" i="4"/>
  <c r="AI84" i="4"/>
  <c r="AI85" i="4"/>
  <c r="AI86" i="4"/>
  <c r="AI87" i="4"/>
  <c r="AI88" i="4"/>
  <c r="AI89" i="4"/>
  <c r="AI90" i="4"/>
  <c r="AI91" i="4"/>
  <c r="AI92" i="4"/>
  <c r="AI93" i="4"/>
  <c r="AI94" i="4"/>
  <c r="AI95" i="4"/>
  <c r="AI96" i="4"/>
  <c r="AI97" i="4"/>
  <c r="AI98" i="4"/>
  <c r="AI99" i="4"/>
  <c r="AI100" i="4"/>
  <c r="AI101" i="4"/>
  <c r="AI102" i="4"/>
  <c r="AI103" i="4"/>
  <c r="AI104" i="4"/>
  <c r="AI105" i="4"/>
  <c r="AI106" i="4"/>
  <c r="AI107" i="4"/>
  <c r="AI108" i="4"/>
  <c r="AI12" i="4"/>
  <c r="I17" i="6"/>
  <c r="K17" i="6"/>
  <c r="J17" i="6"/>
  <c r="E23" i="1" l="1"/>
  <c r="L16" i="6" l="1"/>
  <c r="D9" i="4" l="1"/>
  <c r="M16" i="6"/>
  <c r="AE11" i="4"/>
  <c r="F17" i="6"/>
  <c r="E17" i="6"/>
  <c r="F16" i="6"/>
  <c r="E16" i="6"/>
  <c r="F15" i="6"/>
  <c r="E15" i="6"/>
  <c r="F14" i="6"/>
  <c r="E14" i="6"/>
  <c r="AH496" i="4" l="1"/>
  <c r="AH495" i="4"/>
  <c r="AH494" i="4"/>
  <c r="AH493" i="4"/>
  <c r="AJ493" i="4" s="1"/>
  <c r="AH492" i="4"/>
  <c r="AJ492" i="4" s="1"/>
  <c r="AH491" i="4"/>
  <c r="AH490" i="4"/>
  <c r="AJ490" i="4" s="1"/>
  <c r="AH489" i="4"/>
  <c r="AH488" i="4"/>
  <c r="AJ488" i="4" s="1"/>
  <c r="AH487" i="4"/>
  <c r="AH486" i="4"/>
  <c r="AJ486" i="4" s="1"/>
  <c r="AH485" i="4"/>
  <c r="AJ485" i="4" s="1"/>
  <c r="AH484" i="4"/>
  <c r="AH483" i="4"/>
  <c r="AJ483" i="4" s="1"/>
  <c r="AH482" i="4"/>
  <c r="AJ482" i="4" s="1"/>
  <c r="AH481" i="4"/>
  <c r="AJ481" i="4" s="1"/>
  <c r="AH480" i="4"/>
  <c r="AJ480" i="4" s="1"/>
  <c r="AH479" i="4"/>
  <c r="AH478" i="4"/>
  <c r="AJ478" i="4" s="1"/>
  <c r="AH477" i="4"/>
  <c r="AH476" i="4"/>
  <c r="AJ476" i="4" s="1"/>
  <c r="AH475" i="4"/>
  <c r="AJ475" i="4" s="1"/>
  <c r="AH474" i="4"/>
  <c r="AH473" i="4"/>
  <c r="AJ473" i="4" s="1"/>
  <c r="AH472" i="4"/>
  <c r="AJ472" i="4" s="1"/>
  <c r="AH471" i="4"/>
  <c r="AJ471" i="4" s="1"/>
  <c r="AH470" i="4"/>
  <c r="AJ470" i="4" s="1"/>
  <c r="AH469" i="4"/>
  <c r="AH468" i="4"/>
  <c r="AJ468" i="4" s="1"/>
  <c r="AH467" i="4"/>
  <c r="AH466" i="4"/>
  <c r="AJ466" i="4" s="1"/>
  <c r="AH465" i="4"/>
  <c r="AJ465" i="4" s="1"/>
  <c r="AH464" i="4"/>
  <c r="AH463" i="4"/>
  <c r="AJ463" i="4" s="1"/>
  <c r="AH462" i="4"/>
  <c r="AJ462" i="4" s="1"/>
  <c r="AH461" i="4"/>
  <c r="AJ461" i="4" s="1"/>
  <c r="AH460" i="4"/>
  <c r="AJ460" i="4" s="1"/>
  <c r="AH459" i="4"/>
  <c r="AH458" i="4"/>
  <c r="AJ458" i="4" s="1"/>
  <c r="AH457" i="4"/>
  <c r="AH456" i="4"/>
  <c r="AJ456" i="4" s="1"/>
  <c r="AH455" i="4"/>
  <c r="AJ455" i="4" s="1"/>
  <c r="AH454" i="4"/>
  <c r="AH453" i="4"/>
  <c r="AJ453" i="4" s="1"/>
  <c r="AH452" i="4"/>
  <c r="AJ452" i="4" s="1"/>
  <c r="AH451" i="4"/>
  <c r="AJ451" i="4" s="1"/>
  <c r="AH450" i="4"/>
  <c r="AJ450" i="4" s="1"/>
  <c r="AH449" i="4"/>
  <c r="AH448" i="4"/>
  <c r="AJ448" i="4" s="1"/>
  <c r="AH447" i="4"/>
  <c r="AH446" i="4"/>
  <c r="AJ446" i="4" s="1"/>
  <c r="AH445" i="4"/>
  <c r="AJ445" i="4" s="1"/>
  <c r="AH444" i="4"/>
  <c r="AH443" i="4"/>
  <c r="AJ443" i="4" s="1"/>
  <c r="AH442" i="4"/>
  <c r="AH441" i="4"/>
  <c r="AJ441" i="4" s="1"/>
  <c r="AH440" i="4"/>
  <c r="AJ440" i="4" s="1"/>
  <c r="AH439" i="4"/>
  <c r="AH438" i="4"/>
  <c r="AJ438" i="4" s="1"/>
  <c r="AH437" i="4"/>
  <c r="AH436" i="4"/>
  <c r="AJ436" i="4" s="1"/>
  <c r="AH435" i="4"/>
  <c r="AJ435" i="4" s="1"/>
  <c r="AH434" i="4"/>
  <c r="AH433" i="4"/>
  <c r="AJ433" i="4" s="1"/>
  <c r="AH432" i="4"/>
  <c r="AJ432" i="4" s="1"/>
  <c r="AH431" i="4"/>
  <c r="AJ431" i="4" s="1"/>
  <c r="AH430" i="4"/>
  <c r="AJ430" i="4" s="1"/>
  <c r="AH429" i="4"/>
  <c r="AH428" i="4"/>
  <c r="AJ428" i="4" s="1"/>
  <c r="AH427" i="4"/>
  <c r="AH426" i="4"/>
  <c r="AJ426" i="4" s="1"/>
  <c r="AH425" i="4"/>
  <c r="AJ425" i="4" s="1"/>
  <c r="AH424" i="4"/>
  <c r="AH423" i="4"/>
  <c r="AJ423" i="4" s="1"/>
  <c r="AH422" i="4"/>
  <c r="AJ422" i="4" s="1"/>
  <c r="AH421" i="4"/>
  <c r="AJ421" i="4" s="1"/>
  <c r="AH420" i="4"/>
  <c r="AJ420" i="4" s="1"/>
  <c r="AH419" i="4"/>
  <c r="AH418" i="4"/>
  <c r="AJ418" i="4" s="1"/>
  <c r="AH417" i="4"/>
  <c r="AH416" i="4"/>
  <c r="AJ416" i="4" s="1"/>
  <c r="AH415" i="4"/>
  <c r="AJ415" i="4" s="1"/>
  <c r="AH414" i="4"/>
  <c r="AH413" i="4"/>
  <c r="AJ413" i="4" s="1"/>
  <c r="AH412" i="4"/>
  <c r="AJ412" i="4" s="1"/>
  <c r="AH411" i="4"/>
  <c r="AJ411" i="4" s="1"/>
  <c r="AH410" i="4"/>
  <c r="AJ410" i="4" s="1"/>
  <c r="AH409" i="4"/>
  <c r="AH408" i="4"/>
  <c r="AJ408" i="4" s="1"/>
  <c r="AH407" i="4"/>
  <c r="AH406" i="4"/>
  <c r="AJ406" i="4" s="1"/>
  <c r="AH405" i="4"/>
  <c r="AJ405" i="4" s="1"/>
  <c r="AH404" i="4"/>
  <c r="AH403" i="4"/>
  <c r="AJ403" i="4" s="1"/>
  <c r="AH402" i="4"/>
  <c r="AJ402" i="4" s="1"/>
  <c r="AH401" i="4"/>
  <c r="AJ401" i="4" s="1"/>
  <c r="AH400" i="4"/>
  <c r="AJ400" i="4" s="1"/>
  <c r="AH399" i="4"/>
  <c r="AH398" i="4"/>
  <c r="AJ398" i="4" s="1"/>
  <c r="AH397" i="4"/>
  <c r="AH396" i="4"/>
  <c r="AJ396" i="4" s="1"/>
  <c r="AH395" i="4"/>
  <c r="AJ395" i="4" s="1"/>
  <c r="AH394" i="4"/>
  <c r="AH393" i="4"/>
  <c r="AJ393" i="4" s="1"/>
  <c r="AH392" i="4"/>
  <c r="AJ392" i="4" s="1"/>
  <c r="AH391" i="4"/>
  <c r="AJ391" i="4" s="1"/>
  <c r="AH390" i="4"/>
  <c r="AJ390" i="4" s="1"/>
  <c r="AH389" i="4"/>
  <c r="AH388" i="4"/>
  <c r="AJ388" i="4" s="1"/>
  <c r="AH387" i="4"/>
  <c r="AH386" i="4"/>
  <c r="AJ386" i="4" s="1"/>
  <c r="AH385" i="4"/>
  <c r="AJ385" i="4" s="1"/>
  <c r="AH384" i="4"/>
  <c r="AH383" i="4"/>
  <c r="AJ383" i="4" s="1"/>
  <c r="AH382" i="4"/>
  <c r="AJ382" i="4" s="1"/>
  <c r="AH381" i="4"/>
  <c r="AJ381" i="4" s="1"/>
  <c r="AH380" i="4"/>
  <c r="AJ380" i="4" s="1"/>
  <c r="AH379" i="4"/>
  <c r="AH378" i="4"/>
  <c r="AJ378" i="4" s="1"/>
  <c r="AH377" i="4"/>
  <c r="AH376" i="4"/>
  <c r="AJ376" i="4" s="1"/>
  <c r="AH375" i="4"/>
  <c r="AJ375" i="4" s="1"/>
  <c r="AH374" i="4"/>
  <c r="AH373" i="4"/>
  <c r="AJ373" i="4" s="1"/>
  <c r="AH372" i="4"/>
  <c r="AJ372" i="4" s="1"/>
  <c r="AH371" i="4"/>
  <c r="AJ371" i="4" s="1"/>
  <c r="AH370" i="4"/>
  <c r="AJ370" i="4" s="1"/>
  <c r="AH369" i="4"/>
  <c r="AJ369" i="4" s="1"/>
  <c r="AH368" i="4"/>
  <c r="AJ368" i="4" s="1"/>
  <c r="AH367" i="4"/>
  <c r="AJ367" i="4" s="1"/>
  <c r="AH366" i="4"/>
  <c r="AJ366" i="4" s="1"/>
  <c r="AH365" i="4"/>
  <c r="AH364" i="4"/>
  <c r="AJ364" i="4" s="1"/>
  <c r="AH363" i="4"/>
  <c r="AJ363" i="4" s="1"/>
  <c r="AH362" i="4"/>
  <c r="AJ362" i="4" s="1"/>
  <c r="AH361" i="4"/>
  <c r="AJ361" i="4" s="1"/>
  <c r="AH360" i="4"/>
  <c r="AJ360" i="4" s="1"/>
  <c r="AH359" i="4"/>
  <c r="AJ359" i="4" s="1"/>
  <c r="AH358" i="4"/>
  <c r="AJ358" i="4" s="1"/>
  <c r="AH357" i="4"/>
  <c r="AJ357" i="4" s="1"/>
  <c r="AH356" i="4"/>
  <c r="AJ356" i="4" s="1"/>
  <c r="AH355" i="4"/>
  <c r="AJ355" i="4" s="1"/>
  <c r="AH354" i="4"/>
  <c r="AJ354" i="4" s="1"/>
  <c r="AH353" i="4"/>
  <c r="AJ353" i="4" s="1"/>
  <c r="AH352" i="4"/>
  <c r="AJ352" i="4" s="1"/>
  <c r="AH351" i="4"/>
  <c r="AJ351" i="4" s="1"/>
  <c r="AH350" i="4"/>
  <c r="AJ350" i="4" s="1"/>
  <c r="AH349" i="4"/>
  <c r="AH348" i="4"/>
  <c r="AJ348" i="4" s="1"/>
  <c r="AH347" i="4"/>
  <c r="AJ347" i="4" s="1"/>
  <c r="AH346" i="4"/>
  <c r="AJ346" i="4" s="1"/>
  <c r="AH345" i="4"/>
  <c r="AJ345" i="4" s="1"/>
  <c r="AH344" i="4"/>
  <c r="AJ344" i="4" s="1"/>
  <c r="AH343" i="4"/>
  <c r="AJ343" i="4" s="1"/>
  <c r="AH342" i="4"/>
  <c r="AJ342" i="4" s="1"/>
  <c r="AH341" i="4"/>
  <c r="AJ341" i="4" s="1"/>
  <c r="AH340" i="4"/>
  <c r="AJ340" i="4" s="1"/>
  <c r="AH339" i="4"/>
  <c r="AJ339" i="4" s="1"/>
  <c r="AH338" i="4"/>
  <c r="AJ338" i="4" s="1"/>
  <c r="AH337" i="4"/>
  <c r="AJ337" i="4" s="1"/>
  <c r="AH336" i="4"/>
  <c r="AJ336" i="4" s="1"/>
  <c r="AH335" i="4"/>
  <c r="AJ335" i="4" s="1"/>
  <c r="AH334" i="4"/>
  <c r="AJ334" i="4" s="1"/>
  <c r="AH333" i="4"/>
  <c r="AJ333" i="4" s="1"/>
  <c r="AH332" i="4"/>
  <c r="AJ332" i="4" s="1"/>
  <c r="AH331" i="4"/>
  <c r="AJ331" i="4" s="1"/>
  <c r="AH330" i="4"/>
  <c r="AJ330" i="4" s="1"/>
  <c r="AH329" i="4"/>
  <c r="AJ329" i="4" s="1"/>
  <c r="AH328" i="4"/>
  <c r="AJ328" i="4" s="1"/>
  <c r="AH327" i="4"/>
  <c r="AJ327" i="4" s="1"/>
  <c r="AH326" i="4"/>
  <c r="AJ326" i="4" s="1"/>
  <c r="AH325" i="4"/>
  <c r="AJ325" i="4" s="1"/>
  <c r="AH324" i="4"/>
  <c r="AJ324" i="4" s="1"/>
  <c r="AH323" i="4"/>
  <c r="AJ323" i="4" s="1"/>
  <c r="AH322" i="4"/>
  <c r="AJ322" i="4" s="1"/>
  <c r="AH321" i="4"/>
  <c r="AJ321" i="4" s="1"/>
  <c r="AH320" i="4"/>
  <c r="AJ320" i="4" s="1"/>
  <c r="AH319" i="4"/>
  <c r="AJ319" i="4" s="1"/>
  <c r="AH318" i="4"/>
  <c r="AJ318" i="4" s="1"/>
  <c r="AH317" i="4"/>
  <c r="AJ317" i="4" s="1"/>
  <c r="AH316" i="4"/>
  <c r="AJ316" i="4" s="1"/>
  <c r="AH315" i="4"/>
  <c r="AJ315" i="4" s="1"/>
  <c r="AH314" i="4"/>
  <c r="AJ314" i="4" s="1"/>
  <c r="AH313" i="4"/>
  <c r="AJ313" i="4" s="1"/>
  <c r="AH312" i="4"/>
  <c r="AJ312" i="4" s="1"/>
  <c r="AH311" i="4"/>
  <c r="AJ311" i="4" s="1"/>
  <c r="AH310" i="4"/>
  <c r="AJ310" i="4" s="1"/>
  <c r="AH309" i="4"/>
  <c r="AJ309" i="4" s="1"/>
  <c r="AH308" i="4"/>
  <c r="AJ308" i="4" s="1"/>
  <c r="AH307" i="4"/>
  <c r="AJ307" i="4" s="1"/>
  <c r="AH306" i="4"/>
  <c r="AJ306" i="4" s="1"/>
  <c r="AH305" i="4"/>
  <c r="AJ305" i="4" s="1"/>
  <c r="AH304" i="4"/>
  <c r="AJ304" i="4" s="1"/>
  <c r="AH303" i="4"/>
  <c r="AJ303" i="4" s="1"/>
  <c r="AH302" i="4"/>
  <c r="AJ302" i="4" s="1"/>
  <c r="AH301" i="4"/>
  <c r="AJ301" i="4" s="1"/>
  <c r="AH300" i="4"/>
  <c r="AJ300" i="4" s="1"/>
  <c r="AH299" i="4"/>
  <c r="AJ299" i="4" s="1"/>
  <c r="AH298" i="4"/>
  <c r="AJ298" i="4" s="1"/>
  <c r="AH297" i="4"/>
  <c r="AJ297" i="4" s="1"/>
  <c r="AH296" i="4"/>
  <c r="AJ296" i="4" s="1"/>
  <c r="AH295" i="4"/>
  <c r="AH294" i="4"/>
  <c r="AJ294" i="4" s="1"/>
  <c r="AH293" i="4"/>
  <c r="AJ293" i="4" s="1"/>
  <c r="AH292" i="4"/>
  <c r="AJ292" i="4" s="1"/>
  <c r="AH291" i="4"/>
  <c r="AJ291" i="4" s="1"/>
  <c r="AH290" i="4"/>
  <c r="AJ290" i="4" s="1"/>
  <c r="AH289" i="4"/>
  <c r="AJ289" i="4" s="1"/>
  <c r="AH288" i="4"/>
  <c r="AJ288" i="4" s="1"/>
  <c r="AH287" i="4"/>
  <c r="AJ287" i="4" s="1"/>
  <c r="AH286" i="4"/>
  <c r="AJ286" i="4" s="1"/>
  <c r="AH285" i="4"/>
  <c r="AJ285" i="4" s="1"/>
  <c r="AH284" i="4"/>
  <c r="AJ284" i="4" s="1"/>
  <c r="AH283" i="4"/>
  <c r="AJ283" i="4" s="1"/>
  <c r="AH282" i="4"/>
  <c r="AJ282" i="4" s="1"/>
  <c r="AH281" i="4"/>
  <c r="AJ281" i="4" s="1"/>
  <c r="AH280" i="4"/>
  <c r="AJ280" i="4" s="1"/>
  <c r="AH279" i="4"/>
  <c r="AJ279" i="4" s="1"/>
  <c r="AH278" i="4"/>
  <c r="AJ278" i="4" s="1"/>
  <c r="AH277" i="4"/>
  <c r="AJ277" i="4" s="1"/>
  <c r="AH276" i="4"/>
  <c r="AJ276" i="4" s="1"/>
  <c r="AH275" i="4"/>
  <c r="AJ275" i="4" s="1"/>
  <c r="AH274" i="4"/>
  <c r="AJ274" i="4" s="1"/>
  <c r="AH273" i="4"/>
  <c r="AJ273" i="4" s="1"/>
  <c r="AH272" i="4"/>
  <c r="AJ272" i="4" s="1"/>
  <c r="AH271" i="4"/>
  <c r="AJ271" i="4" s="1"/>
  <c r="AH270" i="4"/>
  <c r="AJ270" i="4" s="1"/>
  <c r="AH269" i="4"/>
  <c r="AJ269" i="4" s="1"/>
  <c r="AH268" i="4"/>
  <c r="AJ268" i="4" s="1"/>
  <c r="AH267" i="4"/>
  <c r="AJ267" i="4" s="1"/>
  <c r="AH266" i="4"/>
  <c r="AJ266" i="4" s="1"/>
  <c r="AH265" i="4"/>
  <c r="AJ265" i="4" s="1"/>
  <c r="AH264" i="4"/>
  <c r="AJ264" i="4" s="1"/>
  <c r="AH263" i="4"/>
  <c r="AJ263" i="4" s="1"/>
  <c r="AH262" i="4"/>
  <c r="AJ262" i="4" s="1"/>
  <c r="AH261" i="4"/>
  <c r="AJ261" i="4" s="1"/>
  <c r="AH260" i="4"/>
  <c r="AJ260" i="4" s="1"/>
  <c r="AH259" i="4"/>
  <c r="AJ259" i="4" s="1"/>
  <c r="AH258" i="4"/>
  <c r="AJ258" i="4" s="1"/>
  <c r="AH257" i="4"/>
  <c r="AJ257" i="4" s="1"/>
  <c r="AH256" i="4"/>
  <c r="AJ256" i="4" s="1"/>
  <c r="AH255" i="4"/>
  <c r="AJ255" i="4" s="1"/>
  <c r="AH254" i="4"/>
  <c r="AJ254" i="4" s="1"/>
  <c r="AH253" i="4"/>
  <c r="AJ253" i="4" s="1"/>
  <c r="AH252" i="4"/>
  <c r="AJ252" i="4" s="1"/>
  <c r="AH251" i="4"/>
  <c r="AJ251" i="4" s="1"/>
  <c r="AH250" i="4"/>
  <c r="AJ250" i="4" s="1"/>
  <c r="AH249" i="4"/>
  <c r="AJ249" i="4" s="1"/>
  <c r="AH248" i="4"/>
  <c r="AJ248" i="4" s="1"/>
  <c r="AH247" i="4"/>
  <c r="AJ247" i="4" s="1"/>
  <c r="AH246" i="4"/>
  <c r="AJ246" i="4" s="1"/>
  <c r="AH245" i="4"/>
  <c r="AJ245" i="4" s="1"/>
  <c r="AH244" i="4"/>
  <c r="AJ244" i="4" s="1"/>
  <c r="AH243" i="4"/>
  <c r="AJ243" i="4" s="1"/>
  <c r="AH242" i="4"/>
  <c r="AJ242" i="4" s="1"/>
  <c r="AH241" i="4"/>
  <c r="AJ241" i="4" s="1"/>
  <c r="AH240" i="4"/>
  <c r="AJ240" i="4" s="1"/>
  <c r="AH239" i="4"/>
  <c r="AJ239" i="4" s="1"/>
  <c r="AH238" i="4"/>
  <c r="AJ238" i="4" s="1"/>
  <c r="AH237" i="4"/>
  <c r="AJ237" i="4" s="1"/>
  <c r="AH236" i="4"/>
  <c r="AJ236" i="4" s="1"/>
  <c r="AH235" i="4"/>
  <c r="AJ235" i="4" s="1"/>
  <c r="AH234" i="4"/>
  <c r="AJ234" i="4" s="1"/>
  <c r="AH233" i="4"/>
  <c r="AJ233" i="4" s="1"/>
  <c r="AH232" i="4"/>
  <c r="AJ232" i="4" s="1"/>
  <c r="AH231" i="4"/>
  <c r="AJ231" i="4" s="1"/>
  <c r="AH230" i="4"/>
  <c r="AJ230" i="4" s="1"/>
  <c r="AH229" i="4"/>
  <c r="AJ229" i="4" s="1"/>
  <c r="AH228" i="4"/>
  <c r="AJ228" i="4" s="1"/>
  <c r="AH227" i="4"/>
  <c r="AJ227" i="4" s="1"/>
  <c r="AH226" i="4"/>
  <c r="AJ226" i="4" s="1"/>
  <c r="AH225" i="4"/>
  <c r="AJ225" i="4" s="1"/>
  <c r="AH224" i="4"/>
  <c r="AJ224" i="4" s="1"/>
  <c r="AH223" i="4"/>
  <c r="AJ223" i="4" s="1"/>
  <c r="AH222" i="4"/>
  <c r="AJ222" i="4" s="1"/>
  <c r="AH221" i="4"/>
  <c r="AJ221" i="4" s="1"/>
  <c r="AH220" i="4"/>
  <c r="AJ220" i="4" s="1"/>
  <c r="AH219" i="4"/>
  <c r="AJ219" i="4" s="1"/>
  <c r="AH218" i="4"/>
  <c r="AJ218" i="4" s="1"/>
  <c r="AH217" i="4"/>
  <c r="AJ217" i="4" s="1"/>
  <c r="AH216" i="4"/>
  <c r="AJ216" i="4" s="1"/>
  <c r="AH215" i="4"/>
  <c r="AJ215" i="4" s="1"/>
  <c r="AH214" i="4"/>
  <c r="AJ214" i="4" s="1"/>
  <c r="AH213" i="4"/>
  <c r="AJ213" i="4" s="1"/>
  <c r="AH212" i="4"/>
  <c r="AJ212" i="4" s="1"/>
  <c r="AH211" i="4"/>
  <c r="AJ211" i="4" s="1"/>
  <c r="AH210" i="4"/>
  <c r="AJ210" i="4" s="1"/>
  <c r="AH209" i="4"/>
  <c r="AJ209" i="4" s="1"/>
  <c r="AH208" i="4"/>
  <c r="AJ208" i="4" s="1"/>
  <c r="AH207" i="4"/>
  <c r="AJ207" i="4" s="1"/>
  <c r="AH206" i="4"/>
  <c r="AJ206" i="4" s="1"/>
  <c r="AH205" i="4"/>
  <c r="AJ205" i="4" s="1"/>
  <c r="AH204" i="4"/>
  <c r="AJ204" i="4" s="1"/>
  <c r="AH203" i="4"/>
  <c r="AJ203" i="4" s="1"/>
  <c r="AH202" i="4"/>
  <c r="AJ202" i="4" s="1"/>
  <c r="AH201" i="4"/>
  <c r="AJ201" i="4" s="1"/>
  <c r="AH200" i="4"/>
  <c r="AJ200" i="4" s="1"/>
  <c r="AH199" i="4"/>
  <c r="AJ199" i="4" s="1"/>
  <c r="AH198" i="4"/>
  <c r="AJ198" i="4" s="1"/>
  <c r="AH197" i="4"/>
  <c r="AJ197" i="4" s="1"/>
  <c r="AH196" i="4"/>
  <c r="AJ196" i="4" s="1"/>
  <c r="AH195" i="4"/>
  <c r="AJ195" i="4" s="1"/>
  <c r="AH194" i="4"/>
  <c r="AJ194" i="4" s="1"/>
  <c r="AH193" i="4"/>
  <c r="AJ193" i="4" s="1"/>
  <c r="AH192" i="4"/>
  <c r="AJ192" i="4" s="1"/>
  <c r="AH191" i="4"/>
  <c r="AJ191" i="4" s="1"/>
  <c r="AH190" i="4"/>
  <c r="AJ190" i="4" s="1"/>
  <c r="AH189" i="4"/>
  <c r="AJ189" i="4" s="1"/>
  <c r="AH188" i="4"/>
  <c r="AJ188" i="4" s="1"/>
  <c r="AH187" i="4"/>
  <c r="AJ187" i="4" s="1"/>
  <c r="AH186" i="4"/>
  <c r="AJ186" i="4" s="1"/>
  <c r="AH185" i="4"/>
  <c r="AJ185" i="4" s="1"/>
  <c r="AH184" i="4"/>
  <c r="AJ184" i="4" s="1"/>
  <c r="AH183" i="4"/>
  <c r="AJ183" i="4" s="1"/>
  <c r="AH182" i="4"/>
  <c r="AJ182" i="4" s="1"/>
  <c r="AH181" i="4"/>
  <c r="AJ181" i="4" s="1"/>
  <c r="AH180" i="4"/>
  <c r="AJ180" i="4" s="1"/>
  <c r="AH179" i="4"/>
  <c r="AJ179" i="4" s="1"/>
  <c r="AH178" i="4"/>
  <c r="AJ178" i="4" s="1"/>
  <c r="AH177" i="4"/>
  <c r="AJ177" i="4" s="1"/>
  <c r="AH176" i="4"/>
  <c r="AJ176" i="4" s="1"/>
  <c r="AH175" i="4"/>
  <c r="AJ175" i="4" s="1"/>
  <c r="AH174" i="4"/>
  <c r="AJ174" i="4" s="1"/>
  <c r="AH173" i="4"/>
  <c r="AJ173" i="4" s="1"/>
  <c r="AH172" i="4"/>
  <c r="AJ172" i="4" s="1"/>
  <c r="AH171" i="4"/>
  <c r="AJ171" i="4" s="1"/>
  <c r="AH170" i="4"/>
  <c r="AJ170" i="4" s="1"/>
  <c r="AH169" i="4"/>
  <c r="AJ169" i="4" s="1"/>
  <c r="AH168" i="4"/>
  <c r="AJ168" i="4" s="1"/>
  <c r="AH167" i="4"/>
  <c r="AJ167" i="4" s="1"/>
  <c r="AH166" i="4"/>
  <c r="AJ166" i="4" s="1"/>
  <c r="AH165" i="4"/>
  <c r="AJ165" i="4" s="1"/>
  <c r="AH164" i="4"/>
  <c r="AJ164" i="4" s="1"/>
  <c r="AH163" i="4"/>
  <c r="AJ163" i="4" s="1"/>
  <c r="AH162" i="4"/>
  <c r="AJ162" i="4" s="1"/>
  <c r="AH161" i="4"/>
  <c r="AJ161" i="4" s="1"/>
  <c r="AH160" i="4"/>
  <c r="AJ160" i="4" s="1"/>
  <c r="AH159" i="4"/>
  <c r="AJ159" i="4" s="1"/>
  <c r="AH158" i="4"/>
  <c r="AJ158" i="4" s="1"/>
  <c r="AH157" i="4"/>
  <c r="AJ157" i="4" s="1"/>
  <c r="AH156" i="4"/>
  <c r="AJ156" i="4" s="1"/>
  <c r="AH155" i="4"/>
  <c r="AJ155" i="4" s="1"/>
  <c r="AH154" i="4"/>
  <c r="AJ154" i="4" s="1"/>
  <c r="AH153" i="4"/>
  <c r="AJ153" i="4" s="1"/>
  <c r="AH152" i="4"/>
  <c r="AJ152" i="4" s="1"/>
  <c r="AH151" i="4"/>
  <c r="AJ151" i="4" s="1"/>
  <c r="AH150" i="4"/>
  <c r="AJ150" i="4" s="1"/>
  <c r="AH149" i="4"/>
  <c r="AJ149" i="4" s="1"/>
  <c r="AH148" i="4"/>
  <c r="AJ148" i="4" s="1"/>
  <c r="AH147" i="4"/>
  <c r="AJ147" i="4" s="1"/>
  <c r="AH146" i="4"/>
  <c r="AJ146" i="4" s="1"/>
  <c r="AH145" i="4"/>
  <c r="AJ145" i="4" s="1"/>
  <c r="AH144" i="4"/>
  <c r="AJ144" i="4" s="1"/>
  <c r="AH143" i="4"/>
  <c r="AJ143" i="4" s="1"/>
  <c r="AH142" i="4"/>
  <c r="AJ142" i="4" s="1"/>
  <c r="AH141" i="4"/>
  <c r="AJ141" i="4" s="1"/>
  <c r="AH140" i="4"/>
  <c r="AJ140" i="4" s="1"/>
  <c r="AH139" i="4"/>
  <c r="AJ139" i="4" s="1"/>
  <c r="AH138" i="4"/>
  <c r="AJ138" i="4" s="1"/>
  <c r="AH137" i="4"/>
  <c r="AJ137" i="4" s="1"/>
  <c r="AH136" i="4"/>
  <c r="AJ136" i="4" s="1"/>
  <c r="AH135" i="4"/>
  <c r="AJ135" i="4" s="1"/>
  <c r="AH134" i="4"/>
  <c r="AJ134" i="4" s="1"/>
  <c r="AH133" i="4"/>
  <c r="AJ133" i="4" s="1"/>
  <c r="AH132" i="4"/>
  <c r="AJ132" i="4" s="1"/>
  <c r="AH131" i="4"/>
  <c r="AJ131" i="4" s="1"/>
  <c r="AH130" i="4"/>
  <c r="AJ130" i="4" s="1"/>
  <c r="AH129" i="4"/>
  <c r="AJ129" i="4" s="1"/>
  <c r="AH128" i="4"/>
  <c r="AJ128" i="4" s="1"/>
  <c r="AH127" i="4"/>
  <c r="AJ127" i="4" s="1"/>
  <c r="AH126" i="4"/>
  <c r="AJ126" i="4" s="1"/>
  <c r="AH125" i="4"/>
  <c r="AJ125" i="4" s="1"/>
  <c r="AH124" i="4"/>
  <c r="AJ124" i="4" s="1"/>
  <c r="AH123" i="4"/>
  <c r="AJ123" i="4" s="1"/>
  <c r="AH122" i="4"/>
  <c r="AJ122" i="4" s="1"/>
  <c r="AH121" i="4"/>
  <c r="AJ121" i="4" s="1"/>
  <c r="AH120" i="4"/>
  <c r="AJ120" i="4" s="1"/>
  <c r="AH119" i="4"/>
  <c r="AJ119" i="4" s="1"/>
  <c r="AH118" i="4"/>
  <c r="AJ118" i="4" s="1"/>
  <c r="AH117" i="4"/>
  <c r="AJ117" i="4" s="1"/>
  <c r="AH116" i="4"/>
  <c r="AJ116" i="4" s="1"/>
  <c r="AH115" i="4"/>
  <c r="AJ115" i="4" s="1"/>
  <c r="AH114" i="4"/>
  <c r="AJ114" i="4" s="1"/>
  <c r="AH113" i="4"/>
  <c r="AJ113" i="4" s="1"/>
  <c r="AH112" i="4"/>
  <c r="AJ112" i="4" s="1"/>
  <c r="AH111" i="4"/>
  <c r="AJ111" i="4" s="1"/>
  <c r="AH110" i="4"/>
  <c r="AJ110" i="4" s="1"/>
  <c r="AH109" i="4"/>
  <c r="AJ109" i="4" s="1"/>
  <c r="AH108" i="4"/>
  <c r="AJ108" i="4" s="1"/>
  <c r="AH107" i="4"/>
  <c r="AJ107" i="4" s="1"/>
  <c r="AH106" i="4"/>
  <c r="AJ106" i="4" s="1"/>
  <c r="AH105" i="4"/>
  <c r="AJ105" i="4" s="1"/>
  <c r="AH104" i="4"/>
  <c r="AJ104" i="4" s="1"/>
  <c r="AH103" i="4"/>
  <c r="AJ103" i="4" s="1"/>
  <c r="AH102" i="4"/>
  <c r="AJ102" i="4" s="1"/>
  <c r="AH101" i="4"/>
  <c r="AJ101" i="4" s="1"/>
  <c r="AH100" i="4"/>
  <c r="AJ100" i="4" s="1"/>
  <c r="AH99" i="4"/>
  <c r="AJ99" i="4" s="1"/>
  <c r="AH98" i="4"/>
  <c r="AJ98" i="4" s="1"/>
  <c r="AH97" i="4"/>
  <c r="AJ97" i="4" s="1"/>
  <c r="AH96" i="4"/>
  <c r="AJ96" i="4" s="1"/>
  <c r="AH95" i="4"/>
  <c r="AJ95" i="4" s="1"/>
  <c r="AH94" i="4"/>
  <c r="AJ94" i="4" s="1"/>
  <c r="AH93" i="4"/>
  <c r="AJ93" i="4" s="1"/>
  <c r="AH92" i="4"/>
  <c r="AJ92" i="4" s="1"/>
  <c r="AH91" i="4"/>
  <c r="AJ91" i="4" s="1"/>
  <c r="AH90" i="4"/>
  <c r="AJ90" i="4" s="1"/>
  <c r="AH89" i="4"/>
  <c r="AJ89" i="4" s="1"/>
  <c r="AH88" i="4"/>
  <c r="AJ88" i="4" s="1"/>
  <c r="AH87" i="4"/>
  <c r="AJ87" i="4" s="1"/>
  <c r="AH86" i="4"/>
  <c r="AJ86" i="4" s="1"/>
  <c r="AH85" i="4"/>
  <c r="AJ85" i="4" s="1"/>
  <c r="AH84" i="4"/>
  <c r="AJ84" i="4" s="1"/>
  <c r="AH83" i="4"/>
  <c r="AJ83" i="4" s="1"/>
  <c r="AH82" i="4"/>
  <c r="AJ82" i="4" s="1"/>
  <c r="AH81" i="4"/>
  <c r="AJ81" i="4" s="1"/>
  <c r="AH80" i="4"/>
  <c r="AJ80" i="4" s="1"/>
  <c r="AH79" i="4"/>
  <c r="AJ79" i="4" s="1"/>
  <c r="AH78" i="4"/>
  <c r="AJ78" i="4" s="1"/>
  <c r="AH77" i="4"/>
  <c r="AJ77" i="4" s="1"/>
  <c r="AH76" i="4"/>
  <c r="AJ76" i="4" s="1"/>
  <c r="AH75" i="4"/>
  <c r="AJ75" i="4" s="1"/>
  <c r="AH74" i="4"/>
  <c r="AJ74" i="4" s="1"/>
  <c r="AH73" i="4"/>
  <c r="AJ73" i="4" s="1"/>
  <c r="AH72" i="4"/>
  <c r="AJ72" i="4" s="1"/>
  <c r="AH71" i="4"/>
  <c r="AJ71" i="4" s="1"/>
  <c r="AH70" i="4"/>
  <c r="AJ70" i="4" s="1"/>
  <c r="AH69" i="4"/>
  <c r="AJ69" i="4" s="1"/>
  <c r="AH68" i="4"/>
  <c r="AJ68" i="4" s="1"/>
  <c r="AH67" i="4"/>
  <c r="AJ67" i="4" s="1"/>
  <c r="AH66" i="4"/>
  <c r="AJ66" i="4" s="1"/>
  <c r="AH65" i="4"/>
  <c r="AJ65" i="4" s="1"/>
  <c r="AH64" i="4"/>
  <c r="AJ64" i="4" s="1"/>
  <c r="AH63" i="4"/>
  <c r="AJ63" i="4" s="1"/>
  <c r="AH62" i="4"/>
  <c r="AJ62" i="4" s="1"/>
  <c r="AH61" i="4"/>
  <c r="AJ61" i="4" s="1"/>
  <c r="AH60" i="4"/>
  <c r="AJ60" i="4" s="1"/>
  <c r="AH59" i="4"/>
  <c r="AJ59" i="4" s="1"/>
  <c r="AH58" i="4"/>
  <c r="AJ58" i="4" s="1"/>
  <c r="AH57" i="4"/>
  <c r="AJ57" i="4" s="1"/>
  <c r="AH56" i="4"/>
  <c r="AJ56" i="4" s="1"/>
  <c r="AH55" i="4"/>
  <c r="AJ55" i="4" s="1"/>
  <c r="AH54" i="4"/>
  <c r="AJ54" i="4" s="1"/>
  <c r="AH53" i="4"/>
  <c r="AJ53" i="4" s="1"/>
  <c r="AH52" i="4"/>
  <c r="AJ52" i="4" s="1"/>
  <c r="AH51" i="4"/>
  <c r="AJ51" i="4" s="1"/>
  <c r="AH50" i="4"/>
  <c r="AJ50" i="4" s="1"/>
  <c r="AH49" i="4"/>
  <c r="AJ49" i="4" s="1"/>
  <c r="AH48" i="4"/>
  <c r="AJ48" i="4" s="1"/>
  <c r="AH47" i="4"/>
  <c r="AJ47" i="4" s="1"/>
  <c r="AH46" i="4"/>
  <c r="AJ46" i="4" s="1"/>
  <c r="AH45" i="4"/>
  <c r="AJ45" i="4" s="1"/>
  <c r="AH44" i="4"/>
  <c r="AJ44" i="4" s="1"/>
  <c r="AH43" i="4"/>
  <c r="AJ43" i="4" s="1"/>
  <c r="AH42" i="4"/>
  <c r="AJ42" i="4" s="1"/>
  <c r="AH41" i="4"/>
  <c r="AJ41" i="4" s="1"/>
  <c r="AH40" i="4"/>
  <c r="AJ40" i="4" s="1"/>
  <c r="AH39" i="4"/>
  <c r="AJ39" i="4" s="1"/>
  <c r="AH38" i="4"/>
  <c r="AJ38" i="4" s="1"/>
  <c r="AH37" i="4"/>
  <c r="AJ37" i="4" s="1"/>
  <c r="AH36" i="4"/>
  <c r="AJ36" i="4" s="1"/>
  <c r="AH35" i="4"/>
  <c r="AJ35" i="4" s="1"/>
  <c r="AH34" i="4"/>
  <c r="AJ34" i="4" s="1"/>
  <c r="AH33" i="4"/>
  <c r="AJ33" i="4" s="1"/>
  <c r="AH32" i="4"/>
  <c r="AJ32" i="4" s="1"/>
  <c r="AH31" i="4"/>
  <c r="AJ31" i="4" s="1"/>
  <c r="AH30" i="4"/>
  <c r="AJ30" i="4" s="1"/>
  <c r="AH29" i="4"/>
  <c r="AJ29" i="4" s="1"/>
  <c r="AH28" i="4"/>
  <c r="AJ28" i="4" s="1"/>
  <c r="AH27" i="4"/>
  <c r="AJ27" i="4" s="1"/>
  <c r="AH26" i="4"/>
  <c r="AJ26" i="4" s="1"/>
  <c r="AH25" i="4"/>
  <c r="AJ25" i="4" s="1"/>
  <c r="AH24" i="4"/>
  <c r="AJ24" i="4" s="1"/>
  <c r="AH23" i="4"/>
  <c r="AJ23" i="4" s="1"/>
  <c r="AH22" i="4"/>
  <c r="AJ22" i="4" s="1"/>
  <c r="AH21" i="4"/>
  <c r="AJ21" i="4" s="1"/>
  <c r="AH20" i="4"/>
  <c r="AJ20" i="4" s="1"/>
  <c r="AH19" i="4"/>
  <c r="AJ19" i="4" s="1"/>
  <c r="AH18" i="4"/>
  <c r="AJ18" i="4" s="1"/>
  <c r="AH17" i="4"/>
  <c r="AJ17" i="4" s="1"/>
  <c r="AH16" i="4"/>
  <c r="AJ16" i="4" s="1"/>
  <c r="AH15" i="4"/>
  <c r="AJ15" i="4" s="1"/>
  <c r="AH14" i="4"/>
  <c r="AJ14" i="4" s="1"/>
  <c r="AH13" i="4"/>
  <c r="AH12" i="4"/>
  <c r="AJ491" i="4"/>
  <c r="AJ442" i="4"/>
  <c r="AJ365" i="4"/>
  <c r="AJ349" i="4"/>
  <c r="AJ295" i="4"/>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C118" i="1"/>
  <c r="C117" i="1"/>
  <c r="C116" i="1"/>
  <c r="C115" i="1"/>
  <c r="C114" i="1"/>
  <c r="C113" i="1"/>
  <c r="C112" i="1"/>
  <c r="C111" i="1"/>
  <c r="C110" i="1"/>
  <c r="C109" i="1"/>
  <c r="C108" i="1"/>
  <c r="C107" i="1"/>
  <c r="C106" i="1"/>
  <c r="C105" i="1"/>
  <c r="C104" i="1"/>
  <c r="C103" i="1"/>
  <c r="E14" i="4"/>
  <c r="C16" i="6" s="1"/>
  <c r="B16" i="6" s="1"/>
  <c r="D8" i="4"/>
  <c r="D7" i="4"/>
  <c r="E13" i="4"/>
  <c r="C15" i="6" s="1"/>
  <c r="E19" i="4"/>
  <c r="E18" i="4"/>
  <c r="E17" i="4"/>
  <c r="E12" i="4"/>
  <c r="C14" i="6" s="1"/>
  <c r="C18" i="1"/>
  <c r="C6" i="1" s="1"/>
  <c r="C10" i="1"/>
  <c r="C15" i="1"/>
  <c r="C16" i="1"/>
  <c r="L16" i="1"/>
  <c r="L17" i="1" s="1"/>
  <c r="H17" i="1"/>
  <c r="H18" i="1"/>
  <c r="C22" i="1"/>
  <c r="C23" i="1"/>
  <c r="C24" i="1"/>
  <c r="C25" i="1"/>
  <c r="C26" i="1"/>
  <c r="C27" i="1"/>
  <c r="C28" i="1"/>
  <c r="C29" i="1"/>
  <c r="C30" i="1"/>
  <c r="C31" i="1"/>
  <c r="C32" i="1"/>
  <c r="C33" i="1"/>
  <c r="C34" i="1"/>
  <c r="C35" i="1"/>
  <c r="C36" i="1"/>
  <c r="C37" i="1"/>
  <c r="C38" i="1"/>
  <c r="C39" i="1"/>
  <c r="C40" i="1"/>
  <c r="C41" i="1"/>
  <c r="C42" i="1"/>
  <c r="D42" i="1" s="1"/>
  <c r="E42" i="1" s="1"/>
  <c r="C43" i="1"/>
  <c r="C44" i="1"/>
  <c r="C45" i="1"/>
  <c r="C46" i="1"/>
  <c r="C47" i="1"/>
  <c r="C48" i="1"/>
  <c r="C49" i="1"/>
  <c r="C50" i="1"/>
  <c r="C51" i="1"/>
  <c r="D51" i="1" s="1"/>
  <c r="E51" i="1" s="1"/>
  <c r="C52" i="1"/>
  <c r="C53" i="1"/>
  <c r="C54" i="1"/>
  <c r="C55" i="1"/>
  <c r="C56" i="1"/>
  <c r="C57" i="1"/>
  <c r="C58" i="1"/>
  <c r="C59" i="1"/>
  <c r="C60" i="1"/>
  <c r="C61" i="1"/>
  <c r="C62" i="1"/>
  <c r="C63" i="1"/>
  <c r="C64" i="1"/>
  <c r="C65" i="1"/>
  <c r="C66" i="1"/>
  <c r="D66" i="1" s="1"/>
  <c r="E66" i="1" s="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D33" i="1"/>
  <c r="E33" i="1" s="1"/>
  <c r="AJ379" i="4" l="1"/>
  <c r="AJ459" i="4"/>
  <c r="AJ419" i="4"/>
  <c r="C9" i="1"/>
  <c r="I9" i="6"/>
  <c r="L18" i="1"/>
  <c r="D22" i="1"/>
  <c r="E22" i="1" s="1"/>
  <c r="B50" i="1"/>
  <c r="B60" i="1"/>
  <c r="B23" i="1"/>
  <c r="AJ389" i="4"/>
  <c r="AJ429" i="4"/>
  <c r="AJ469" i="4"/>
  <c r="B89" i="1"/>
  <c r="B83" i="1"/>
  <c r="B30" i="1"/>
  <c r="B74" i="1"/>
  <c r="B31" i="1"/>
  <c r="D44" i="1"/>
  <c r="E44" i="1" s="1"/>
  <c r="D61" i="1"/>
  <c r="E61" i="1" s="1"/>
  <c r="D101" i="1"/>
  <c r="E101" i="1" s="1"/>
  <c r="D35" i="1"/>
  <c r="E35" i="1" s="1"/>
  <c r="D32" i="1"/>
  <c r="E32" i="1" s="1"/>
  <c r="D62" i="1"/>
  <c r="E62" i="1" s="1"/>
  <c r="B53" i="1"/>
  <c r="D30" i="1"/>
  <c r="E30" i="1" s="1"/>
  <c r="D67" i="1"/>
  <c r="E67" i="1" s="1"/>
  <c r="AJ409" i="4"/>
  <c r="AJ449" i="4"/>
  <c r="AJ489" i="4"/>
  <c r="B96" i="1"/>
  <c r="B42" i="1"/>
  <c r="B68" i="1"/>
  <c r="B37" i="1"/>
  <c r="B36" i="1"/>
  <c r="B28" i="1"/>
  <c r="B56" i="1"/>
  <c r="B45" i="1"/>
  <c r="D26" i="1"/>
  <c r="E26" i="1" s="1"/>
  <c r="B80" i="1"/>
  <c r="D48" i="1"/>
  <c r="E48" i="1" s="1"/>
  <c r="B32" i="1"/>
  <c r="D63" i="1"/>
  <c r="E63" i="1" s="1"/>
  <c r="D99" i="1"/>
  <c r="E99" i="1" s="1"/>
  <c r="B84" i="1"/>
  <c r="D45" i="1"/>
  <c r="E45" i="1" s="1"/>
  <c r="B34" i="1"/>
  <c r="D71" i="1"/>
  <c r="E71" i="1" s="1"/>
  <c r="B24" i="1"/>
  <c r="B72" i="1"/>
  <c r="AJ399" i="4"/>
  <c r="AJ439" i="4"/>
  <c r="AJ479" i="4"/>
  <c r="V107" i="4"/>
  <c r="B102" i="1"/>
  <c r="B69" i="1"/>
  <c r="B27" i="1"/>
  <c r="B29" i="1"/>
  <c r="B47" i="1"/>
  <c r="B55" i="1"/>
  <c r="B49" i="1"/>
  <c r="B75" i="1"/>
  <c r="B92" i="1"/>
  <c r="B100" i="1"/>
  <c r="B62" i="1"/>
  <c r="B95" i="1"/>
  <c r="B41" i="1"/>
  <c r="B46" i="1"/>
  <c r="B39" i="1"/>
  <c r="B79" i="1"/>
  <c r="B59" i="1"/>
  <c r="B58" i="1"/>
  <c r="B26" i="1"/>
  <c r="B66" i="1"/>
  <c r="C7" i="1"/>
  <c r="D68" i="1"/>
  <c r="E68" i="1" s="1"/>
  <c r="D54" i="1"/>
  <c r="E54" i="1" s="1"/>
  <c r="D34" i="1"/>
  <c r="E34" i="1" s="1"/>
  <c r="D37" i="1"/>
  <c r="E37" i="1" s="1"/>
  <c r="B85" i="1"/>
  <c r="D52" i="1"/>
  <c r="E52" i="1" s="1"/>
  <c r="D43" i="1"/>
  <c r="E43" i="1" s="1"/>
  <c r="D70" i="1"/>
  <c r="E70" i="1" s="1"/>
  <c r="D25" i="1"/>
  <c r="E25" i="1" s="1"/>
  <c r="D53" i="1"/>
  <c r="E53" i="1" s="1"/>
  <c r="D60" i="1"/>
  <c r="E60" i="1" s="1"/>
  <c r="D24" i="1"/>
  <c r="E24" i="1" s="1"/>
  <c r="K9" i="6"/>
  <c r="J9" i="6"/>
  <c r="L9" i="6"/>
  <c r="M9" i="6"/>
  <c r="B57" i="1"/>
  <c r="D102" i="1"/>
  <c r="E102" i="1" s="1"/>
  <c r="D31" i="1"/>
  <c r="E31" i="1" s="1"/>
  <c r="D23" i="1"/>
  <c r="D73" i="1"/>
  <c r="E73" i="1" s="1"/>
  <c r="D40" i="1"/>
  <c r="E40" i="1" s="1"/>
  <c r="D29" i="1"/>
  <c r="E29" i="1" s="1"/>
  <c r="D72" i="1"/>
  <c r="E72" i="1" s="1"/>
  <c r="D46" i="1"/>
  <c r="E46" i="1" s="1"/>
  <c r="D57" i="1"/>
  <c r="E57" i="1" s="1"/>
  <c r="D50" i="1"/>
  <c r="E50" i="1" s="1"/>
  <c r="D55" i="1"/>
  <c r="E55" i="1" s="1"/>
  <c r="B22" i="1"/>
  <c r="B48" i="1"/>
  <c r="B73" i="1"/>
  <c r="B43" i="1"/>
  <c r="D79" i="1"/>
  <c r="E79" i="1" s="1"/>
  <c r="B51" i="1"/>
  <c r="B76" i="1"/>
  <c r="B99" i="1"/>
  <c r="B54" i="1"/>
  <c r="B90" i="1"/>
  <c r="B82" i="1"/>
  <c r="B86" i="1"/>
  <c r="B93" i="1"/>
  <c r="B94" i="1"/>
  <c r="B61" i="1"/>
  <c r="B88" i="1"/>
  <c r="B63" i="1"/>
  <c r="B25" i="1"/>
  <c r="B38" i="1"/>
  <c r="B65" i="1"/>
  <c r="D49" i="1"/>
  <c r="E49" i="1" s="1"/>
  <c r="D38" i="1"/>
  <c r="E38" i="1" s="1"/>
  <c r="D100" i="1"/>
  <c r="E100" i="1" s="1"/>
  <c r="D36" i="1"/>
  <c r="E36" i="1" s="1"/>
  <c r="D74" i="1"/>
  <c r="E74" i="1" s="1"/>
  <c r="B33" i="1"/>
  <c r="B98" i="1"/>
  <c r="B91" i="1"/>
  <c r="B40" i="1"/>
  <c r="B44" i="1"/>
  <c r="B77" i="1"/>
  <c r="B81" i="1"/>
  <c r="B87" i="1"/>
  <c r="B67" i="1"/>
  <c r="B101" i="1"/>
  <c r="B78" i="1"/>
  <c r="B64" i="1"/>
  <c r="B71" i="1"/>
  <c r="B70" i="1"/>
  <c r="D56" i="1"/>
  <c r="E56" i="1" s="1"/>
  <c r="B97" i="1"/>
  <c r="B52" i="1"/>
  <c r="B35" i="1"/>
  <c r="D39" i="1"/>
  <c r="E39" i="1" s="1"/>
  <c r="D65" i="1"/>
  <c r="E65" i="1" s="1"/>
  <c r="D58" i="1"/>
  <c r="E58" i="1" s="1"/>
  <c r="D64" i="1"/>
  <c r="E64" i="1" s="1"/>
  <c r="D78" i="1"/>
  <c r="E78" i="1" s="1"/>
  <c r="D41" i="1"/>
  <c r="E41" i="1" s="1"/>
  <c r="D28" i="1"/>
  <c r="E28" i="1" s="1"/>
  <c r="D27" i="1"/>
  <c r="E27" i="1" s="1"/>
  <c r="D47" i="1"/>
  <c r="E47" i="1" s="1"/>
  <c r="D69" i="1"/>
  <c r="E69" i="1" s="1"/>
  <c r="D98" i="1"/>
  <c r="E98" i="1" s="1"/>
  <c r="D97" i="1"/>
  <c r="E97" i="1" s="1"/>
  <c r="D96" i="1"/>
  <c r="E96" i="1" s="1"/>
  <c r="D95" i="1"/>
  <c r="E95" i="1" s="1"/>
  <c r="D94" i="1"/>
  <c r="E94" i="1" s="1"/>
  <c r="D93" i="1"/>
  <c r="E93" i="1" s="1"/>
  <c r="D92" i="1"/>
  <c r="E92" i="1" s="1"/>
  <c r="D91" i="1"/>
  <c r="E91" i="1" s="1"/>
  <c r="D90" i="1"/>
  <c r="E90" i="1" s="1"/>
  <c r="D89" i="1"/>
  <c r="E89" i="1" s="1"/>
  <c r="D88" i="1"/>
  <c r="E88" i="1" s="1"/>
  <c r="D87" i="1"/>
  <c r="E87" i="1" s="1"/>
  <c r="D86" i="1"/>
  <c r="E86" i="1" s="1"/>
  <c r="D85" i="1"/>
  <c r="E85" i="1" s="1"/>
  <c r="D84" i="1"/>
  <c r="E84" i="1" s="1"/>
  <c r="D83" i="1"/>
  <c r="E83" i="1" s="1"/>
  <c r="D82" i="1"/>
  <c r="E82" i="1" s="1"/>
  <c r="D81" i="1"/>
  <c r="E81" i="1" s="1"/>
  <c r="D80" i="1"/>
  <c r="E80" i="1" s="1"/>
  <c r="D77" i="1"/>
  <c r="E77" i="1" s="1"/>
  <c r="D76" i="1"/>
  <c r="E76" i="1" s="1"/>
  <c r="D75" i="1"/>
  <c r="E75" i="1" s="1"/>
  <c r="D59" i="1"/>
  <c r="E59" i="1" s="1"/>
  <c r="D118" i="1"/>
  <c r="E118" i="1" s="1"/>
  <c r="AJ447" i="4"/>
  <c r="AJ457" i="4"/>
  <c r="AJ467" i="4"/>
  <c r="AJ477" i="4"/>
  <c r="AJ487" i="4"/>
  <c r="AJ377" i="4"/>
  <c r="AJ387" i="4"/>
  <c r="AJ397" i="4"/>
  <c r="AJ407" i="4"/>
  <c r="AJ417" i="4"/>
  <c r="AJ427" i="4"/>
  <c r="AJ437" i="4"/>
  <c r="AJ374" i="4"/>
  <c r="AJ384" i="4"/>
  <c r="AJ394" i="4"/>
  <c r="AJ404" i="4"/>
  <c r="AJ414" i="4"/>
  <c r="AJ424" i="4"/>
  <c r="AJ434" i="4"/>
  <c r="AJ444" i="4"/>
  <c r="AJ454" i="4"/>
  <c r="AJ464" i="4"/>
  <c r="AJ474" i="4"/>
  <c r="AJ484" i="4"/>
  <c r="AJ494" i="4"/>
  <c r="B117" i="1"/>
  <c r="B103" i="1"/>
  <c r="B104" i="1"/>
  <c r="B105" i="1"/>
  <c r="B106" i="1"/>
  <c r="B107" i="1"/>
  <c r="B108" i="1"/>
  <c r="D109" i="1"/>
  <c r="E109" i="1" s="1"/>
  <c r="B110" i="1"/>
  <c r="D111" i="1"/>
  <c r="E111" i="1" s="1"/>
  <c r="B112" i="1"/>
  <c r="D113" i="1"/>
  <c r="E113" i="1" s="1"/>
  <c r="B114" i="1"/>
  <c r="D115" i="1"/>
  <c r="E115" i="1" s="1"/>
  <c r="B116" i="1"/>
  <c r="D117" i="1"/>
  <c r="E117" i="1" s="1"/>
  <c r="B118" i="1"/>
  <c r="V12" i="4"/>
  <c r="V14" i="4"/>
  <c r="V16" i="4"/>
  <c r="V18" i="4"/>
  <c r="V20" i="4"/>
  <c r="V22" i="4"/>
  <c r="V24" i="4"/>
  <c r="V26" i="4"/>
  <c r="V28" i="4"/>
  <c r="V30" i="4"/>
  <c r="V32" i="4"/>
  <c r="V34" i="4"/>
  <c r="V36" i="4"/>
  <c r="V38" i="4"/>
  <c r="V40" i="4"/>
  <c r="V42" i="4"/>
  <c r="V44" i="4"/>
  <c r="V46" i="4"/>
  <c r="V48" i="4"/>
  <c r="V50" i="4"/>
  <c r="V52" i="4"/>
  <c r="V54" i="4"/>
  <c r="V56" i="4"/>
  <c r="V58" i="4"/>
  <c r="V60" i="4"/>
  <c r="V62" i="4"/>
  <c r="V64" i="4"/>
  <c r="V66" i="4"/>
  <c r="V68" i="4"/>
  <c r="V70" i="4"/>
  <c r="V72" i="4"/>
  <c r="V74" i="4"/>
  <c r="V76" i="4"/>
  <c r="V78" i="4"/>
  <c r="V80" i="4"/>
  <c r="V82" i="4"/>
  <c r="V84" i="4"/>
  <c r="V86" i="4"/>
  <c r="V88" i="4"/>
  <c r="V90" i="4"/>
  <c r="V92" i="4"/>
  <c r="V94" i="4"/>
  <c r="V96" i="4"/>
  <c r="V98" i="4"/>
  <c r="V100" i="4"/>
  <c r="V102" i="4"/>
  <c r="V104" i="4"/>
  <c r="V106" i="4"/>
  <c r="V108" i="4"/>
  <c r="D103" i="1"/>
  <c r="E103" i="1" s="1"/>
  <c r="D104" i="1"/>
  <c r="E104" i="1" s="1"/>
  <c r="D105" i="1"/>
  <c r="E105" i="1" s="1"/>
  <c r="D106" i="1"/>
  <c r="E106" i="1" s="1"/>
  <c r="D107" i="1"/>
  <c r="E107" i="1" s="1"/>
  <c r="D108" i="1"/>
  <c r="E108" i="1" s="1"/>
  <c r="B109" i="1"/>
  <c r="D110" i="1"/>
  <c r="E110" i="1" s="1"/>
  <c r="B111" i="1"/>
  <c r="D112" i="1"/>
  <c r="E112" i="1" s="1"/>
  <c r="B113" i="1"/>
  <c r="D114" i="1"/>
  <c r="E114" i="1" s="1"/>
  <c r="B115" i="1"/>
  <c r="D116" i="1"/>
  <c r="E116" i="1" s="1"/>
  <c r="V13" i="4"/>
  <c r="V15" i="4"/>
  <c r="V17" i="4"/>
  <c r="V19" i="4"/>
  <c r="V21" i="4"/>
  <c r="V23" i="4"/>
  <c r="V25" i="4"/>
  <c r="V27" i="4"/>
  <c r="V29" i="4"/>
  <c r="V31" i="4"/>
  <c r="V33" i="4"/>
  <c r="V35" i="4"/>
  <c r="V37" i="4"/>
  <c r="V39" i="4"/>
  <c r="V41" i="4"/>
  <c r="V43" i="4"/>
  <c r="V45" i="4"/>
  <c r="V47" i="4"/>
  <c r="V49" i="4"/>
  <c r="V51" i="4"/>
  <c r="V53" i="4"/>
  <c r="V55" i="4"/>
  <c r="V57" i="4"/>
  <c r="V59" i="4"/>
  <c r="V61" i="4"/>
  <c r="V63" i="4"/>
  <c r="V65" i="4"/>
  <c r="V67" i="4"/>
  <c r="V69" i="4"/>
  <c r="V71" i="4"/>
  <c r="V73" i="4"/>
  <c r="V75" i="4"/>
  <c r="V77" i="4"/>
  <c r="V79" i="4"/>
  <c r="V81" i="4"/>
  <c r="V83" i="4"/>
  <c r="V85" i="4"/>
  <c r="V87" i="4"/>
  <c r="V89" i="4"/>
  <c r="V91" i="4"/>
  <c r="V93" i="4"/>
  <c r="V95" i="4"/>
  <c r="V97" i="4"/>
  <c r="V99" i="4"/>
  <c r="V101" i="4"/>
  <c r="V103" i="4"/>
  <c r="V105" i="4"/>
  <c r="M17" i="6"/>
  <c r="M113" i="1" l="1"/>
  <c r="M109" i="1"/>
  <c r="M105" i="1"/>
  <c r="M101" i="1"/>
  <c r="M97" i="1"/>
  <c r="M93" i="1"/>
  <c r="M89" i="1"/>
  <c r="M85" i="1"/>
  <c r="M81" i="1"/>
  <c r="M77" i="1"/>
  <c r="M73" i="1"/>
  <c r="M69" i="1"/>
  <c r="M65" i="1"/>
  <c r="M61" i="1"/>
  <c r="M57" i="1"/>
  <c r="M53" i="1"/>
  <c r="M49" i="1"/>
  <c r="M45" i="1"/>
  <c r="M41" i="1"/>
  <c r="M37" i="1"/>
  <c r="M33" i="1"/>
  <c r="M29" i="1"/>
  <c r="M25" i="1"/>
  <c r="M118" i="1"/>
  <c r="M114" i="1"/>
  <c r="M110" i="1"/>
  <c r="M106" i="1"/>
  <c r="M102" i="1"/>
  <c r="M98" i="1"/>
  <c r="M94" i="1"/>
  <c r="M90" i="1"/>
  <c r="M86" i="1"/>
  <c r="M82" i="1"/>
  <c r="M78" i="1"/>
  <c r="M74" i="1"/>
  <c r="M70" i="1"/>
  <c r="M66" i="1"/>
  <c r="M62" i="1"/>
  <c r="M58" i="1"/>
  <c r="M54" i="1"/>
  <c r="M50" i="1"/>
  <c r="M46" i="1"/>
  <c r="M42" i="1"/>
  <c r="M38" i="1"/>
  <c r="M34" i="1"/>
  <c r="M30" i="1"/>
  <c r="M26" i="1"/>
  <c r="M22" i="1"/>
  <c r="C5" i="1"/>
  <c r="M117" i="1"/>
  <c r="M115" i="1"/>
  <c r="M111" i="1"/>
  <c r="M107" i="1"/>
  <c r="M103" i="1"/>
  <c r="M99" i="1"/>
  <c r="M95" i="1"/>
  <c r="M91" i="1"/>
  <c r="M87" i="1"/>
  <c r="M83" i="1"/>
  <c r="M79" i="1"/>
  <c r="M75" i="1"/>
  <c r="M71" i="1"/>
  <c r="M67" i="1"/>
  <c r="M63" i="1"/>
  <c r="M59" i="1"/>
  <c r="M55" i="1"/>
  <c r="M51" i="1"/>
  <c r="M47" i="1"/>
  <c r="M43" i="1"/>
  <c r="M39" i="1"/>
  <c r="M35" i="1"/>
  <c r="M31" i="1"/>
  <c r="M27" i="1"/>
  <c r="M23" i="1"/>
  <c r="M116" i="1"/>
  <c r="M112" i="1"/>
  <c r="M108" i="1"/>
  <c r="M104" i="1"/>
  <c r="M100" i="1"/>
  <c r="M96" i="1"/>
  <c r="M92" i="1"/>
  <c r="M88" i="1"/>
  <c r="M84" i="1"/>
  <c r="M80" i="1"/>
  <c r="M76" i="1"/>
  <c r="M72" i="1"/>
  <c r="M68" i="1"/>
  <c r="M64" i="1"/>
  <c r="M60" i="1"/>
  <c r="M56" i="1"/>
  <c r="M52" i="1"/>
  <c r="M48" i="1"/>
  <c r="M44" i="1"/>
  <c r="M40" i="1"/>
  <c r="M36" i="1"/>
  <c r="M32" i="1"/>
  <c r="M28" i="1"/>
  <c r="M24" i="1"/>
  <c r="L115" i="1"/>
  <c r="G28" i="1"/>
  <c r="G36" i="1"/>
  <c r="G44" i="1"/>
  <c r="G52" i="1"/>
  <c r="G60" i="1"/>
  <c r="G68" i="1"/>
  <c r="G76" i="1"/>
  <c r="G84" i="1"/>
  <c r="G92" i="1"/>
  <c r="G100" i="1"/>
  <c r="G109" i="1"/>
  <c r="G117" i="1"/>
  <c r="G27" i="1"/>
  <c r="G35" i="1"/>
  <c r="G43" i="1"/>
  <c r="G51" i="1"/>
  <c r="G59" i="1"/>
  <c r="G67" i="1"/>
  <c r="G75" i="1"/>
  <c r="G83" i="1"/>
  <c r="G91" i="1"/>
  <c r="G99" i="1"/>
  <c r="G108" i="1"/>
  <c r="G116" i="1"/>
  <c r="G26" i="1"/>
  <c r="G34" i="1"/>
  <c r="G46" i="1"/>
  <c r="G54" i="1"/>
  <c r="G62" i="1"/>
  <c r="G70" i="1"/>
  <c r="G78" i="1"/>
  <c r="G86" i="1"/>
  <c r="G94" i="1"/>
  <c r="G103" i="1"/>
  <c r="G111" i="1"/>
  <c r="G102" i="1"/>
  <c r="G29" i="1"/>
  <c r="G37" i="1"/>
  <c r="G45" i="1"/>
  <c r="G53" i="1"/>
  <c r="G61" i="1"/>
  <c r="G69" i="1"/>
  <c r="G77" i="1"/>
  <c r="G85" i="1"/>
  <c r="G93" i="1"/>
  <c r="G101" i="1"/>
  <c r="G110" i="1"/>
  <c r="G24" i="1"/>
  <c r="G32" i="1"/>
  <c r="G40" i="1"/>
  <c r="G48" i="1"/>
  <c r="G56" i="1"/>
  <c r="G64" i="1"/>
  <c r="G72" i="1"/>
  <c r="G80" i="1"/>
  <c r="G88" i="1"/>
  <c r="G96" i="1"/>
  <c r="G105" i="1"/>
  <c r="G113" i="1"/>
  <c r="G23" i="1"/>
  <c r="G31" i="1"/>
  <c r="G39" i="1"/>
  <c r="G47" i="1"/>
  <c r="G55" i="1"/>
  <c r="G63" i="1"/>
  <c r="G71" i="1"/>
  <c r="G79" i="1"/>
  <c r="G87" i="1"/>
  <c r="G95" i="1"/>
  <c r="G104" i="1"/>
  <c r="G112" i="1"/>
  <c r="G22" i="1"/>
  <c r="G30" i="1"/>
  <c r="G42" i="1"/>
  <c r="G50" i="1"/>
  <c r="G58" i="1"/>
  <c r="G66" i="1"/>
  <c r="G74" i="1"/>
  <c r="G82" i="1"/>
  <c r="G90" i="1"/>
  <c r="G98" i="1"/>
  <c r="G107" i="1"/>
  <c r="G115" i="1"/>
  <c r="G25" i="1"/>
  <c r="G33" i="1"/>
  <c r="G41" i="1"/>
  <c r="G49" i="1"/>
  <c r="G57" i="1"/>
  <c r="G65" i="1"/>
  <c r="G73" i="1"/>
  <c r="G81" i="1"/>
  <c r="G89" i="1"/>
  <c r="G97" i="1"/>
  <c r="G106" i="1"/>
  <c r="G114" i="1"/>
  <c r="G38" i="1"/>
  <c r="G118" i="1"/>
  <c r="L102" i="1"/>
  <c r="L113" i="1"/>
  <c r="L111" i="1"/>
  <c r="L109" i="1"/>
  <c r="L118" i="1"/>
  <c r="L116" i="1"/>
  <c r="L114" i="1"/>
  <c r="L112" i="1"/>
  <c r="L110" i="1"/>
  <c r="L108" i="1"/>
  <c r="L106" i="1"/>
  <c r="L104" i="1"/>
  <c r="L31" i="1"/>
  <c r="L35" i="1"/>
  <c r="L97" i="1"/>
  <c r="L58" i="1"/>
  <c r="L59" i="1"/>
  <c r="L79" i="1"/>
  <c r="L39" i="1"/>
  <c r="L46" i="1"/>
  <c r="L41" i="1"/>
  <c r="L95" i="1"/>
  <c r="L45" i="1"/>
  <c r="L89" i="1"/>
  <c r="L23" i="1"/>
  <c r="L53" i="1"/>
  <c r="L68" i="1"/>
  <c r="L36" i="1"/>
  <c r="L30" i="1"/>
  <c r="L34" i="1"/>
  <c r="L43" i="1"/>
  <c r="L48" i="1"/>
  <c r="L57" i="1"/>
  <c r="L24" i="1"/>
  <c r="L84" i="1"/>
  <c r="L70" i="1"/>
  <c r="L64" i="1"/>
  <c r="L101" i="1"/>
  <c r="L87" i="1"/>
  <c r="L77" i="1"/>
  <c r="L40" i="1"/>
  <c r="L98" i="1"/>
  <c r="L65" i="1"/>
  <c r="L25" i="1"/>
  <c r="L88" i="1"/>
  <c r="L94" i="1"/>
  <c r="L86" i="1"/>
  <c r="L90" i="1"/>
  <c r="L99" i="1"/>
  <c r="L51" i="1"/>
  <c r="L27" i="1"/>
  <c r="L69" i="1"/>
  <c r="L107" i="1"/>
  <c r="L105" i="1"/>
  <c r="L103" i="1"/>
  <c r="L117" i="1"/>
  <c r="L85" i="1"/>
  <c r="L52" i="1"/>
  <c r="L32" i="1"/>
  <c r="L42" i="1"/>
  <c r="L37" i="1"/>
  <c r="L28" i="1"/>
  <c r="L72" i="1"/>
  <c r="L60" i="1"/>
  <c r="L50" i="1"/>
  <c r="L74" i="1"/>
  <c r="L62" i="1"/>
  <c r="L100" i="1"/>
  <c r="L92" i="1"/>
  <c r="L75" i="1"/>
  <c r="L49" i="1"/>
  <c r="L55" i="1"/>
  <c r="L47" i="1"/>
  <c r="L29" i="1"/>
  <c r="L73" i="1"/>
  <c r="L22" i="1"/>
  <c r="L96" i="1"/>
  <c r="L66" i="1"/>
  <c r="L26" i="1"/>
  <c r="L71" i="1"/>
  <c r="L78" i="1"/>
  <c r="L67" i="1"/>
  <c r="L81" i="1"/>
  <c r="L44" i="1"/>
  <c r="L91" i="1"/>
  <c r="L33" i="1"/>
  <c r="L38" i="1"/>
  <c r="L63" i="1"/>
  <c r="L61" i="1"/>
  <c r="L93" i="1"/>
  <c r="L82" i="1"/>
  <c r="L54" i="1"/>
  <c r="L76" i="1"/>
  <c r="L56" i="1"/>
  <c r="L80" i="1"/>
  <c r="L83" i="1"/>
  <c r="N77" i="1" l="1"/>
  <c r="C77" i="6" s="1"/>
  <c r="N46" i="1"/>
  <c r="C46" i="6" s="1"/>
  <c r="N71" i="1"/>
  <c r="C71" i="6" s="1"/>
  <c r="N95" i="1"/>
  <c r="C95" i="6" s="1"/>
  <c r="N53" i="1"/>
  <c r="C53" i="6" s="1"/>
  <c r="N79" i="1"/>
  <c r="C79" i="6" s="1"/>
  <c r="N104" i="1"/>
  <c r="C104" i="6" s="1"/>
  <c r="N117" i="1"/>
  <c r="C117" i="6" s="1"/>
  <c r="N55" i="1"/>
  <c r="C55" i="6" s="1"/>
  <c r="N101" i="1"/>
  <c r="C101" i="6" s="1"/>
  <c r="N109" i="1"/>
  <c r="C109" i="6" s="1"/>
  <c r="N54" i="1"/>
  <c r="C54" i="6" s="1"/>
  <c r="N63" i="1"/>
  <c r="C63" i="6" s="1"/>
  <c r="N22" i="1"/>
  <c r="C22" i="6" s="1"/>
  <c r="Q22" i="6" s="1"/>
  <c r="Y22" i="6" s="1"/>
  <c r="N69" i="1"/>
  <c r="C69" i="6" s="1"/>
  <c r="N70" i="1"/>
  <c r="C70" i="6" s="1"/>
  <c r="N44" i="1"/>
  <c r="C44" i="6" s="1"/>
  <c r="N60" i="1"/>
  <c r="C60" i="6" s="1"/>
  <c r="N33" i="1"/>
  <c r="C33" i="6" s="1"/>
  <c r="N66" i="1"/>
  <c r="C66" i="6" s="1"/>
  <c r="N75" i="1"/>
  <c r="C75" i="6" s="1"/>
  <c r="N98" i="1"/>
  <c r="C98" i="6" s="1"/>
  <c r="N34" i="1"/>
  <c r="C34" i="6" s="1"/>
  <c r="N113" i="1"/>
  <c r="C113" i="6" s="1"/>
  <c r="N61" i="1"/>
  <c r="C61" i="6" s="1"/>
  <c r="N78" i="1"/>
  <c r="C78" i="6" s="1"/>
  <c r="N96" i="1"/>
  <c r="C96" i="6" s="1"/>
  <c r="N47" i="1"/>
  <c r="C47" i="6" s="1"/>
  <c r="N37" i="1"/>
  <c r="C37" i="6" s="1"/>
  <c r="N85" i="1"/>
  <c r="C85" i="6" s="1"/>
  <c r="N88" i="1"/>
  <c r="C88" i="6" s="1"/>
  <c r="N40" i="1"/>
  <c r="C40" i="6" s="1"/>
  <c r="N64" i="1"/>
  <c r="C64" i="6" s="1"/>
  <c r="N30" i="1"/>
  <c r="C30" i="6" s="1"/>
  <c r="N23" i="1"/>
  <c r="C23" i="6" s="1"/>
  <c r="N31" i="1"/>
  <c r="C31" i="6" s="1"/>
  <c r="N110" i="1"/>
  <c r="C110" i="6" s="1"/>
  <c r="N118" i="1"/>
  <c r="C118" i="6" s="1"/>
  <c r="N102" i="1"/>
  <c r="C102" i="6" s="1"/>
  <c r="N48" i="1"/>
  <c r="C48" i="6" s="1"/>
  <c r="N112" i="1"/>
  <c r="C112" i="6" s="1"/>
  <c r="N80" i="1"/>
  <c r="C80" i="6" s="1"/>
  <c r="N38" i="1"/>
  <c r="C38" i="6" s="1"/>
  <c r="N32" i="1"/>
  <c r="C32" i="6" s="1"/>
  <c r="N86" i="1"/>
  <c r="C86" i="6" s="1"/>
  <c r="N111" i="1"/>
  <c r="C111" i="6" s="1"/>
  <c r="N28" i="1"/>
  <c r="C28" i="6" s="1"/>
  <c r="N108" i="1"/>
  <c r="C108" i="6" s="1"/>
  <c r="N83" i="1"/>
  <c r="C83" i="6" s="1"/>
  <c r="N90" i="1"/>
  <c r="C90" i="6" s="1"/>
  <c r="N89" i="1"/>
  <c r="C89" i="6" s="1"/>
  <c r="N58" i="1"/>
  <c r="C58" i="6" s="1"/>
  <c r="N100" i="1"/>
  <c r="C100" i="6" s="1"/>
  <c r="N42" i="1"/>
  <c r="C42" i="6" s="1"/>
  <c r="N25" i="1"/>
  <c r="C25" i="6" s="1"/>
  <c r="Q25" i="6" s="1"/>
  <c r="N36" i="1"/>
  <c r="C36" i="6" s="1"/>
  <c r="N62" i="1"/>
  <c r="C62" i="6" s="1"/>
  <c r="N72" i="1"/>
  <c r="C72" i="6" s="1"/>
  <c r="N103" i="1"/>
  <c r="C103" i="6" s="1"/>
  <c r="N87" i="1"/>
  <c r="C87" i="6" s="1"/>
  <c r="N45" i="1"/>
  <c r="C45" i="6" s="1"/>
  <c r="N39" i="1"/>
  <c r="C39" i="6" s="1"/>
  <c r="N56" i="1"/>
  <c r="C56" i="6" s="1"/>
  <c r="N93" i="1"/>
  <c r="C93" i="6" s="1"/>
  <c r="N67" i="1"/>
  <c r="C67" i="6" s="1"/>
  <c r="N29" i="1"/>
  <c r="C29" i="6" s="1"/>
  <c r="N74" i="1"/>
  <c r="C74" i="6" s="1"/>
  <c r="N52" i="1"/>
  <c r="C52" i="6" s="1"/>
  <c r="N105" i="1"/>
  <c r="C105" i="6" s="1"/>
  <c r="N51" i="1"/>
  <c r="C51" i="6" s="1"/>
  <c r="N94" i="1"/>
  <c r="C94" i="6" s="1"/>
  <c r="N24" i="1"/>
  <c r="C24" i="6" s="1"/>
  <c r="N35" i="1"/>
  <c r="C35" i="6" s="1"/>
  <c r="N116" i="1"/>
  <c r="C116" i="6" s="1"/>
  <c r="N115" i="1"/>
  <c r="C115" i="6" s="1"/>
  <c r="N76" i="1"/>
  <c r="C76" i="6" s="1"/>
  <c r="N82" i="1"/>
  <c r="C82" i="6" s="1"/>
  <c r="N91" i="1"/>
  <c r="C91" i="6" s="1"/>
  <c r="N81" i="1"/>
  <c r="C81" i="6" s="1"/>
  <c r="N26" i="1"/>
  <c r="C26" i="6" s="1"/>
  <c r="N73" i="1"/>
  <c r="C73" i="6" s="1"/>
  <c r="N49" i="1"/>
  <c r="C49" i="6" s="1"/>
  <c r="N92" i="1"/>
  <c r="C92" i="6" s="1"/>
  <c r="N50" i="1"/>
  <c r="C50" i="6" s="1"/>
  <c r="N107" i="1"/>
  <c r="C107" i="6" s="1"/>
  <c r="N27" i="1"/>
  <c r="C27" i="6" s="1"/>
  <c r="N99" i="1"/>
  <c r="C99" i="6" s="1"/>
  <c r="N65" i="1"/>
  <c r="C65" i="6" s="1"/>
  <c r="N84" i="1"/>
  <c r="C84" i="6" s="1"/>
  <c r="N57" i="1"/>
  <c r="C57" i="6" s="1"/>
  <c r="N43" i="1"/>
  <c r="C43" i="6" s="1"/>
  <c r="N68" i="1"/>
  <c r="C68" i="6" s="1"/>
  <c r="N41" i="1"/>
  <c r="C41" i="6" s="1"/>
  <c r="N59" i="1"/>
  <c r="C59" i="6" s="1"/>
  <c r="N97" i="1"/>
  <c r="C97" i="6" s="1"/>
  <c r="N106" i="1"/>
  <c r="C106" i="6" s="1"/>
  <c r="N114" i="1"/>
  <c r="C114" i="6" s="1"/>
  <c r="Q93" i="6" l="1"/>
  <c r="Y93" i="6" s="1"/>
  <c r="R93" i="6"/>
  <c r="Z93" i="6" s="1"/>
  <c r="S93" i="6"/>
  <c r="AA93" i="6" s="1"/>
  <c r="U93" i="6"/>
  <c r="AC93" i="6" s="1"/>
  <c r="V93" i="6"/>
  <c r="AD93" i="6" s="1"/>
  <c r="T93" i="6"/>
  <c r="AB93" i="6" s="1"/>
  <c r="Q69" i="6"/>
  <c r="Y69" i="6" s="1"/>
  <c r="R69" i="6"/>
  <c r="Z69" i="6" s="1"/>
  <c r="S69" i="6"/>
  <c r="AA69" i="6" s="1"/>
  <c r="U69" i="6"/>
  <c r="AC69" i="6" s="1"/>
  <c r="V69" i="6"/>
  <c r="AD69" i="6" s="1"/>
  <c r="T69" i="6"/>
  <c r="AB69" i="6" s="1"/>
  <c r="S59" i="6"/>
  <c r="AA59" i="6" s="1"/>
  <c r="T59" i="6"/>
  <c r="AB59" i="6" s="1"/>
  <c r="V59" i="6"/>
  <c r="AD59" i="6" s="1"/>
  <c r="Q59" i="6"/>
  <c r="Y59" i="6" s="1"/>
  <c r="R59" i="6"/>
  <c r="Z59" i="6" s="1"/>
  <c r="U59" i="6"/>
  <c r="AC59" i="6" s="1"/>
  <c r="S91" i="6"/>
  <c r="AA91" i="6" s="1"/>
  <c r="T91" i="6"/>
  <c r="AB91" i="6" s="1"/>
  <c r="V91" i="6"/>
  <c r="AD91" i="6" s="1"/>
  <c r="Q91" i="6"/>
  <c r="Y91" i="6" s="1"/>
  <c r="R91" i="6"/>
  <c r="Z91" i="6" s="1"/>
  <c r="U91" i="6"/>
  <c r="AC91" i="6" s="1"/>
  <c r="Q39" i="6"/>
  <c r="Y39" i="6" s="1"/>
  <c r="U39" i="6"/>
  <c r="AC39" i="6" s="1"/>
  <c r="R39" i="6"/>
  <c r="Z39" i="6" s="1"/>
  <c r="S39" i="6"/>
  <c r="AA39" i="6" s="1"/>
  <c r="T39" i="6"/>
  <c r="AB39" i="6" s="1"/>
  <c r="V39" i="6"/>
  <c r="AD39" i="6" s="1"/>
  <c r="Q111" i="6"/>
  <c r="Y111" i="6" s="1"/>
  <c r="R111" i="6"/>
  <c r="Z111" i="6" s="1"/>
  <c r="T111" i="6"/>
  <c r="AB111" i="6" s="1"/>
  <c r="S111" i="6"/>
  <c r="AA111" i="6" s="1"/>
  <c r="U111" i="6"/>
  <c r="AC111" i="6" s="1"/>
  <c r="V111" i="6"/>
  <c r="AD111" i="6" s="1"/>
  <c r="Q85" i="6"/>
  <c r="Y85" i="6" s="1"/>
  <c r="R85" i="6"/>
  <c r="Z85" i="6" s="1"/>
  <c r="S85" i="6"/>
  <c r="AA85" i="6" s="1"/>
  <c r="U85" i="6"/>
  <c r="AC85" i="6" s="1"/>
  <c r="V85" i="6"/>
  <c r="AD85" i="6" s="1"/>
  <c r="T85" i="6"/>
  <c r="AB85" i="6" s="1"/>
  <c r="R22" i="6"/>
  <c r="Z22" i="6" s="1"/>
  <c r="S22" i="6"/>
  <c r="AA22" i="6" s="1"/>
  <c r="T22" i="6"/>
  <c r="AB22" i="6" s="1"/>
  <c r="U22" i="6"/>
  <c r="AC22" i="6" s="1"/>
  <c r="V22" i="6"/>
  <c r="AD22" i="6" s="1"/>
  <c r="U88" i="6"/>
  <c r="AC88" i="6" s="1"/>
  <c r="V88" i="6"/>
  <c r="AD88" i="6" s="1"/>
  <c r="Q88" i="6"/>
  <c r="Y88" i="6" s="1"/>
  <c r="S88" i="6"/>
  <c r="AA88" i="6" s="1"/>
  <c r="T88" i="6"/>
  <c r="AB88" i="6" s="1"/>
  <c r="R88" i="6"/>
  <c r="Z88" i="6" s="1"/>
  <c r="Q41" i="6"/>
  <c r="Y41" i="6" s="1"/>
  <c r="R41" i="6"/>
  <c r="Z41" i="6" s="1"/>
  <c r="S41" i="6"/>
  <c r="AA41" i="6" s="1"/>
  <c r="T41" i="6"/>
  <c r="AB41" i="6" s="1"/>
  <c r="U41" i="6"/>
  <c r="AC41" i="6" s="1"/>
  <c r="V41" i="6"/>
  <c r="AD41" i="6" s="1"/>
  <c r="Q82" i="6"/>
  <c r="Y82" i="6" s="1"/>
  <c r="R82" i="6"/>
  <c r="Z82" i="6" s="1"/>
  <c r="S82" i="6"/>
  <c r="AA82" i="6" s="1"/>
  <c r="T82" i="6"/>
  <c r="AB82" i="6" s="1"/>
  <c r="U82" i="6"/>
  <c r="AC82" i="6" s="1"/>
  <c r="V82" i="6"/>
  <c r="AD82" i="6" s="1"/>
  <c r="Q45" i="6"/>
  <c r="Y45" i="6" s="1"/>
  <c r="R45" i="6"/>
  <c r="Z45" i="6" s="1"/>
  <c r="S45" i="6"/>
  <c r="AA45" i="6" s="1"/>
  <c r="U45" i="6"/>
  <c r="AC45" i="6" s="1"/>
  <c r="V45" i="6"/>
  <c r="AD45" i="6" s="1"/>
  <c r="T45" i="6"/>
  <c r="AB45" i="6" s="1"/>
  <c r="Q86" i="6"/>
  <c r="Y86" i="6" s="1"/>
  <c r="R86" i="6"/>
  <c r="Z86" i="6" s="1"/>
  <c r="T86" i="6"/>
  <c r="AB86" i="6" s="1"/>
  <c r="U86" i="6"/>
  <c r="AC86" i="6" s="1"/>
  <c r="S86" i="6"/>
  <c r="AA86" i="6" s="1"/>
  <c r="V86" i="6"/>
  <c r="AD86" i="6" s="1"/>
  <c r="Q37" i="6"/>
  <c r="Y37" i="6" s="1"/>
  <c r="R37" i="6"/>
  <c r="Z37" i="6" s="1"/>
  <c r="S37" i="6"/>
  <c r="AA37" i="6" s="1"/>
  <c r="T37" i="6"/>
  <c r="AB37" i="6" s="1"/>
  <c r="U37" i="6"/>
  <c r="AC37" i="6" s="1"/>
  <c r="V37" i="6"/>
  <c r="AD37" i="6" s="1"/>
  <c r="Q63" i="6"/>
  <c r="Y63" i="6" s="1"/>
  <c r="U63" i="6"/>
  <c r="AC63" i="6" s="1"/>
  <c r="R63" i="6"/>
  <c r="Z63" i="6" s="1"/>
  <c r="T63" i="6"/>
  <c r="AB63" i="6" s="1"/>
  <c r="S63" i="6"/>
  <c r="AA63" i="6" s="1"/>
  <c r="V63" i="6"/>
  <c r="AD63" i="6" s="1"/>
  <c r="R106" i="6"/>
  <c r="Z106" i="6" s="1"/>
  <c r="Q106" i="6"/>
  <c r="Y106" i="6" s="1"/>
  <c r="S106" i="6"/>
  <c r="AA106" i="6" s="1"/>
  <c r="T106" i="6"/>
  <c r="AB106" i="6" s="1"/>
  <c r="U106" i="6"/>
  <c r="AC106" i="6" s="1"/>
  <c r="V106" i="6"/>
  <c r="AD106" i="6" s="1"/>
  <c r="Q28" i="6"/>
  <c r="Y28" i="6" s="1"/>
  <c r="R28" i="6"/>
  <c r="Z28" i="6" s="1"/>
  <c r="S28" i="6"/>
  <c r="AA28" i="6" s="1"/>
  <c r="T28" i="6"/>
  <c r="AB28" i="6" s="1"/>
  <c r="V28" i="6"/>
  <c r="AD28" i="6" s="1"/>
  <c r="U28" i="6"/>
  <c r="AC28" i="6" s="1"/>
  <c r="Q68" i="6"/>
  <c r="Y68" i="6" s="1"/>
  <c r="S68" i="6"/>
  <c r="AA68" i="6" s="1"/>
  <c r="T68" i="6"/>
  <c r="AB68" i="6" s="1"/>
  <c r="U68" i="6"/>
  <c r="AC68" i="6" s="1"/>
  <c r="V68" i="6"/>
  <c r="AD68" i="6" s="1"/>
  <c r="R68" i="6"/>
  <c r="Z68" i="6" s="1"/>
  <c r="Q76" i="6"/>
  <c r="Y76" i="6" s="1"/>
  <c r="S76" i="6"/>
  <c r="AA76" i="6" s="1"/>
  <c r="T76" i="6"/>
  <c r="AB76" i="6" s="1"/>
  <c r="U76" i="6"/>
  <c r="AC76" i="6" s="1"/>
  <c r="V76" i="6"/>
  <c r="AD76" i="6" s="1"/>
  <c r="R76" i="6"/>
  <c r="Z76" i="6" s="1"/>
  <c r="Q87" i="6"/>
  <c r="Y87" i="6" s="1"/>
  <c r="T87" i="6"/>
  <c r="AB87" i="6" s="1"/>
  <c r="R87" i="6"/>
  <c r="Z87" i="6" s="1"/>
  <c r="U87" i="6"/>
  <c r="AC87" i="6" s="1"/>
  <c r="S87" i="6"/>
  <c r="AA87" i="6" s="1"/>
  <c r="V87" i="6"/>
  <c r="AD87" i="6" s="1"/>
  <c r="U32" i="6"/>
  <c r="AC32" i="6" s="1"/>
  <c r="V32" i="6"/>
  <c r="AD32" i="6" s="1"/>
  <c r="Q32" i="6"/>
  <c r="Y32" i="6" s="1"/>
  <c r="R32" i="6"/>
  <c r="Z32" i="6" s="1"/>
  <c r="S32" i="6"/>
  <c r="AA32" i="6" s="1"/>
  <c r="T32" i="6"/>
  <c r="AB32" i="6" s="1"/>
  <c r="Q47" i="6"/>
  <c r="Y47" i="6" s="1"/>
  <c r="T47" i="6"/>
  <c r="AB47" i="6" s="1"/>
  <c r="U47" i="6"/>
  <c r="AC47" i="6" s="1"/>
  <c r="R47" i="6"/>
  <c r="Z47" i="6" s="1"/>
  <c r="S47" i="6"/>
  <c r="AA47" i="6" s="1"/>
  <c r="V47" i="6"/>
  <c r="AD47" i="6" s="1"/>
  <c r="Q54" i="6"/>
  <c r="Y54" i="6" s="1"/>
  <c r="R54" i="6"/>
  <c r="Z54" i="6" s="1"/>
  <c r="T54" i="6"/>
  <c r="AB54" i="6" s="1"/>
  <c r="U54" i="6"/>
  <c r="AC54" i="6" s="1"/>
  <c r="V54" i="6"/>
  <c r="AD54" i="6" s="1"/>
  <c r="S54" i="6"/>
  <c r="AA54" i="6" s="1"/>
  <c r="Q109" i="6"/>
  <c r="Y109" i="6" s="1"/>
  <c r="R109" i="6"/>
  <c r="Z109" i="6" s="1"/>
  <c r="S109" i="6"/>
  <c r="AA109" i="6" s="1"/>
  <c r="U109" i="6"/>
  <c r="AC109" i="6" s="1"/>
  <c r="V109" i="6"/>
  <c r="AD109" i="6" s="1"/>
  <c r="T109" i="6"/>
  <c r="AB109" i="6" s="1"/>
  <c r="Q49" i="6"/>
  <c r="Y49" i="6" s="1"/>
  <c r="R49" i="6"/>
  <c r="Z49" i="6" s="1"/>
  <c r="S49" i="6"/>
  <c r="AA49" i="6" s="1"/>
  <c r="T49" i="6"/>
  <c r="AB49" i="6" s="1"/>
  <c r="U49" i="6"/>
  <c r="AC49" i="6" s="1"/>
  <c r="V49" i="6"/>
  <c r="AD49" i="6" s="1"/>
  <c r="R81" i="6"/>
  <c r="Z81" i="6" s="1"/>
  <c r="S81" i="6"/>
  <c r="AA81" i="6" s="1"/>
  <c r="U81" i="6"/>
  <c r="AC81" i="6" s="1"/>
  <c r="V81" i="6"/>
  <c r="AD81" i="6" s="1"/>
  <c r="Q81" i="6"/>
  <c r="Y81" i="6" s="1"/>
  <c r="T81" i="6"/>
  <c r="AB81" i="6" s="1"/>
  <c r="R57" i="6"/>
  <c r="Z57" i="6" s="1"/>
  <c r="S57" i="6"/>
  <c r="AA57" i="6" s="1"/>
  <c r="U57" i="6"/>
  <c r="AC57" i="6" s="1"/>
  <c r="V57" i="6"/>
  <c r="AD57" i="6" s="1"/>
  <c r="T57" i="6"/>
  <c r="AB57" i="6" s="1"/>
  <c r="Q57" i="6"/>
  <c r="Y57" i="6" s="1"/>
  <c r="Q101" i="6"/>
  <c r="Y101" i="6" s="1"/>
  <c r="R101" i="6"/>
  <c r="Z101" i="6" s="1"/>
  <c r="S101" i="6"/>
  <c r="AA101" i="6" s="1"/>
  <c r="U101" i="6"/>
  <c r="AC101" i="6" s="1"/>
  <c r="V101" i="6"/>
  <c r="AD101" i="6" s="1"/>
  <c r="T101" i="6"/>
  <c r="AB101" i="6" s="1"/>
  <c r="Q84" i="6"/>
  <c r="Y84" i="6" s="1"/>
  <c r="S84" i="6"/>
  <c r="AA84" i="6" s="1"/>
  <c r="T84" i="6"/>
  <c r="AB84" i="6" s="1"/>
  <c r="V84" i="6"/>
  <c r="AD84" i="6" s="1"/>
  <c r="U84" i="6"/>
  <c r="AC84" i="6" s="1"/>
  <c r="R84" i="6"/>
  <c r="Z84" i="6" s="1"/>
  <c r="S35" i="6"/>
  <c r="AA35" i="6" s="1"/>
  <c r="T35" i="6"/>
  <c r="AB35" i="6" s="1"/>
  <c r="U35" i="6"/>
  <c r="AC35" i="6" s="1"/>
  <c r="V35" i="6"/>
  <c r="AD35" i="6" s="1"/>
  <c r="Q35" i="6"/>
  <c r="Y35" i="6" s="1"/>
  <c r="R35" i="6"/>
  <c r="Z35" i="6" s="1"/>
  <c r="Q62" i="6"/>
  <c r="Y62" i="6" s="1"/>
  <c r="R62" i="6"/>
  <c r="Z62" i="6" s="1"/>
  <c r="T62" i="6"/>
  <c r="AB62" i="6" s="1"/>
  <c r="U62" i="6"/>
  <c r="AC62" i="6" s="1"/>
  <c r="S62" i="6"/>
  <c r="AA62" i="6" s="1"/>
  <c r="V62" i="6"/>
  <c r="AD62" i="6" s="1"/>
  <c r="U112" i="6"/>
  <c r="AC112" i="6" s="1"/>
  <c r="V112" i="6"/>
  <c r="AD112" i="6" s="1"/>
  <c r="Q112" i="6"/>
  <c r="Y112" i="6" s="1"/>
  <c r="S112" i="6"/>
  <c r="AA112" i="6" s="1"/>
  <c r="T112" i="6"/>
  <c r="AB112" i="6" s="1"/>
  <c r="R112" i="6"/>
  <c r="Z112" i="6" s="1"/>
  <c r="Q61" i="6"/>
  <c r="Y61" i="6" s="1"/>
  <c r="R61" i="6"/>
  <c r="Z61" i="6" s="1"/>
  <c r="S61" i="6"/>
  <c r="AA61" i="6" s="1"/>
  <c r="U61" i="6"/>
  <c r="AC61" i="6" s="1"/>
  <c r="V61" i="6"/>
  <c r="AD61" i="6" s="1"/>
  <c r="T61" i="6"/>
  <c r="AB61" i="6" s="1"/>
  <c r="Q55" i="6"/>
  <c r="Y55" i="6" s="1"/>
  <c r="U55" i="6"/>
  <c r="AC55" i="6" s="1"/>
  <c r="R55" i="6"/>
  <c r="Z55" i="6" s="1"/>
  <c r="S55" i="6"/>
  <c r="AA55" i="6" s="1"/>
  <c r="T55" i="6"/>
  <c r="AB55" i="6" s="1"/>
  <c r="V55" i="6"/>
  <c r="AD55" i="6" s="1"/>
  <c r="U56" i="6"/>
  <c r="AC56" i="6" s="1"/>
  <c r="V56" i="6"/>
  <c r="AD56" i="6" s="1"/>
  <c r="Q56" i="6"/>
  <c r="Y56" i="6" s="1"/>
  <c r="S56" i="6"/>
  <c r="AA56" i="6" s="1"/>
  <c r="T56" i="6"/>
  <c r="AB56" i="6" s="1"/>
  <c r="R56" i="6"/>
  <c r="Z56" i="6" s="1"/>
  <c r="Q116" i="6"/>
  <c r="Y116" i="6" s="1"/>
  <c r="S116" i="6"/>
  <c r="AA116" i="6" s="1"/>
  <c r="T116" i="6"/>
  <c r="AB116" i="6" s="1"/>
  <c r="U116" i="6"/>
  <c r="AC116" i="6" s="1"/>
  <c r="V116" i="6"/>
  <c r="AD116" i="6" s="1"/>
  <c r="R116" i="6"/>
  <c r="Z116" i="6" s="1"/>
  <c r="R65" i="6"/>
  <c r="Z65" i="6" s="1"/>
  <c r="S65" i="6"/>
  <c r="AA65" i="6" s="1"/>
  <c r="U65" i="6"/>
  <c r="AC65" i="6" s="1"/>
  <c r="V65" i="6"/>
  <c r="AD65" i="6" s="1"/>
  <c r="Q65" i="6"/>
  <c r="Y65" i="6" s="1"/>
  <c r="T65" i="6"/>
  <c r="AB65" i="6" s="1"/>
  <c r="Q36" i="6"/>
  <c r="Y36" i="6" s="1"/>
  <c r="R36" i="6"/>
  <c r="Z36" i="6" s="1"/>
  <c r="S36" i="6"/>
  <c r="AA36" i="6" s="1"/>
  <c r="V36" i="6"/>
  <c r="AD36" i="6" s="1"/>
  <c r="T36" i="6"/>
  <c r="AB36" i="6" s="1"/>
  <c r="U36" i="6"/>
  <c r="AC36" i="6" s="1"/>
  <c r="U48" i="6"/>
  <c r="AC48" i="6" s="1"/>
  <c r="V48" i="6"/>
  <c r="AD48" i="6" s="1"/>
  <c r="Q48" i="6"/>
  <c r="Y48" i="6" s="1"/>
  <c r="S48" i="6"/>
  <c r="AA48" i="6" s="1"/>
  <c r="T48" i="6"/>
  <c r="AB48" i="6" s="1"/>
  <c r="R48" i="6"/>
  <c r="Z48" i="6" s="1"/>
  <c r="R113" i="6"/>
  <c r="Z113" i="6" s="1"/>
  <c r="S113" i="6"/>
  <c r="AA113" i="6" s="1"/>
  <c r="U113" i="6"/>
  <c r="AC113" i="6" s="1"/>
  <c r="V113" i="6"/>
  <c r="AD113" i="6" s="1"/>
  <c r="Q113" i="6"/>
  <c r="Y113" i="6" s="1"/>
  <c r="T113" i="6"/>
  <c r="AB113" i="6" s="1"/>
  <c r="Q117" i="6"/>
  <c r="Y117" i="6" s="1"/>
  <c r="R117" i="6"/>
  <c r="Z117" i="6" s="1"/>
  <c r="S117" i="6"/>
  <c r="AA117" i="6" s="1"/>
  <c r="U117" i="6"/>
  <c r="AC117" i="6" s="1"/>
  <c r="V117" i="6"/>
  <c r="AD117" i="6" s="1"/>
  <c r="T117" i="6"/>
  <c r="AB117" i="6" s="1"/>
  <c r="Q108" i="6"/>
  <c r="Y108" i="6" s="1"/>
  <c r="S108" i="6"/>
  <c r="AA108" i="6" s="1"/>
  <c r="T108" i="6"/>
  <c r="AB108" i="6" s="1"/>
  <c r="U108" i="6"/>
  <c r="AC108" i="6" s="1"/>
  <c r="V108" i="6"/>
  <c r="AD108" i="6" s="1"/>
  <c r="R108" i="6"/>
  <c r="Z108" i="6" s="1"/>
  <c r="Q103" i="6"/>
  <c r="Y103" i="6" s="1"/>
  <c r="U103" i="6"/>
  <c r="AC103" i="6" s="1"/>
  <c r="R103" i="6"/>
  <c r="Z103" i="6" s="1"/>
  <c r="T103" i="6"/>
  <c r="AB103" i="6" s="1"/>
  <c r="S103" i="6"/>
  <c r="AA103" i="6" s="1"/>
  <c r="V103" i="6"/>
  <c r="AD103" i="6" s="1"/>
  <c r="Q78" i="6"/>
  <c r="Y78" i="6" s="1"/>
  <c r="R78" i="6"/>
  <c r="Z78" i="6" s="1"/>
  <c r="T78" i="6"/>
  <c r="AB78" i="6" s="1"/>
  <c r="U78" i="6"/>
  <c r="AC78" i="6" s="1"/>
  <c r="S78" i="6"/>
  <c r="AA78" i="6" s="1"/>
  <c r="V78" i="6"/>
  <c r="AD78" i="6" s="1"/>
  <c r="U24" i="6"/>
  <c r="AC24" i="6" s="1"/>
  <c r="V24" i="6"/>
  <c r="AD24" i="6" s="1"/>
  <c r="Q24" i="6"/>
  <c r="Y24" i="6" s="1"/>
  <c r="R24" i="6"/>
  <c r="Z24" i="6" s="1"/>
  <c r="S24" i="6"/>
  <c r="AA24" i="6" s="1"/>
  <c r="T24" i="6"/>
  <c r="AB24" i="6" s="1"/>
  <c r="S99" i="6"/>
  <c r="AA99" i="6" s="1"/>
  <c r="T99" i="6"/>
  <c r="AB99" i="6" s="1"/>
  <c r="V99" i="6"/>
  <c r="AD99" i="6" s="1"/>
  <c r="Q99" i="6"/>
  <c r="Y99" i="6" s="1"/>
  <c r="R99" i="6"/>
  <c r="Z99" i="6" s="1"/>
  <c r="U99" i="6"/>
  <c r="AC99" i="6" s="1"/>
  <c r="Q94" i="6"/>
  <c r="Y94" i="6" s="1"/>
  <c r="R94" i="6"/>
  <c r="Z94" i="6" s="1"/>
  <c r="T94" i="6"/>
  <c r="AB94" i="6" s="1"/>
  <c r="U94" i="6"/>
  <c r="AC94" i="6" s="1"/>
  <c r="S94" i="6"/>
  <c r="AA94" i="6" s="1"/>
  <c r="V94" i="6"/>
  <c r="AD94" i="6" s="1"/>
  <c r="Y25" i="6"/>
  <c r="R25" i="6"/>
  <c r="Z25" i="6" s="1"/>
  <c r="S25" i="6"/>
  <c r="AA25" i="6" s="1"/>
  <c r="T25" i="6"/>
  <c r="AB25" i="6" s="1"/>
  <c r="U25" i="6"/>
  <c r="AC25" i="6" s="1"/>
  <c r="V25" i="6"/>
  <c r="AD25" i="6" s="1"/>
  <c r="Q102" i="6"/>
  <c r="Y102" i="6" s="1"/>
  <c r="R102" i="6"/>
  <c r="Z102" i="6" s="1"/>
  <c r="T102" i="6"/>
  <c r="AB102" i="6" s="1"/>
  <c r="U102" i="6"/>
  <c r="AC102" i="6" s="1"/>
  <c r="S102" i="6"/>
  <c r="AA102" i="6" s="1"/>
  <c r="V102" i="6"/>
  <c r="AD102" i="6" s="1"/>
  <c r="Q34" i="6"/>
  <c r="Y34" i="6" s="1"/>
  <c r="R34" i="6"/>
  <c r="Z34" i="6" s="1"/>
  <c r="S34" i="6"/>
  <c r="AA34" i="6" s="1"/>
  <c r="T34" i="6"/>
  <c r="AB34" i="6" s="1"/>
  <c r="U34" i="6"/>
  <c r="AC34" i="6" s="1"/>
  <c r="V34" i="6"/>
  <c r="AD34" i="6" s="1"/>
  <c r="U104" i="6"/>
  <c r="AC104" i="6" s="1"/>
  <c r="V104" i="6"/>
  <c r="AD104" i="6" s="1"/>
  <c r="Q104" i="6"/>
  <c r="Y104" i="6" s="1"/>
  <c r="S104" i="6"/>
  <c r="AA104" i="6" s="1"/>
  <c r="T104" i="6"/>
  <c r="AB104" i="6" s="1"/>
  <c r="R104" i="6"/>
  <c r="Z104" i="6" s="1"/>
  <c r="R26" i="6"/>
  <c r="Z26" i="6" s="1"/>
  <c r="S26" i="6"/>
  <c r="AA26" i="6" s="1"/>
  <c r="Q26" i="6"/>
  <c r="Y26" i="6" s="1"/>
  <c r="T26" i="6"/>
  <c r="AB26" i="6" s="1"/>
  <c r="U26" i="6"/>
  <c r="AC26" i="6" s="1"/>
  <c r="V26" i="6"/>
  <c r="AD26" i="6" s="1"/>
  <c r="S115" i="6"/>
  <c r="AA115" i="6" s="1"/>
  <c r="T115" i="6"/>
  <c r="AB115" i="6" s="1"/>
  <c r="V115" i="6"/>
  <c r="AD115" i="6" s="1"/>
  <c r="Q115" i="6"/>
  <c r="Y115" i="6" s="1"/>
  <c r="R115" i="6"/>
  <c r="Z115" i="6" s="1"/>
  <c r="U115" i="6"/>
  <c r="AC115" i="6" s="1"/>
  <c r="U80" i="6"/>
  <c r="AC80" i="6" s="1"/>
  <c r="V80" i="6"/>
  <c r="AD80" i="6" s="1"/>
  <c r="Q80" i="6"/>
  <c r="Y80" i="6" s="1"/>
  <c r="S80" i="6"/>
  <c r="AA80" i="6" s="1"/>
  <c r="T80" i="6"/>
  <c r="AB80" i="6" s="1"/>
  <c r="R80" i="6"/>
  <c r="Z80" i="6" s="1"/>
  <c r="S27" i="6"/>
  <c r="AA27" i="6" s="1"/>
  <c r="T27" i="6"/>
  <c r="AB27" i="6" s="1"/>
  <c r="U27" i="6"/>
  <c r="AC27" i="6" s="1"/>
  <c r="V27" i="6"/>
  <c r="AD27" i="6" s="1"/>
  <c r="Q27" i="6"/>
  <c r="Y27" i="6" s="1"/>
  <c r="R27" i="6"/>
  <c r="Z27" i="6" s="1"/>
  <c r="S51" i="6"/>
  <c r="AA51" i="6" s="1"/>
  <c r="T51" i="6"/>
  <c r="AB51" i="6" s="1"/>
  <c r="V51" i="6"/>
  <c r="AD51" i="6" s="1"/>
  <c r="Q51" i="6"/>
  <c r="Y51" i="6" s="1"/>
  <c r="R51" i="6"/>
  <c r="Z51" i="6" s="1"/>
  <c r="U51" i="6"/>
  <c r="AC51" i="6" s="1"/>
  <c r="R42" i="6"/>
  <c r="Z42" i="6" s="1"/>
  <c r="Q42" i="6"/>
  <c r="Y42" i="6" s="1"/>
  <c r="S42" i="6"/>
  <c r="AA42" i="6" s="1"/>
  <c r="T42" i="6"/>
  <c r="AB42" i="6" s="1"/>
  <c r="U42" i="6"/>
  <c r="AC42" i="6" s="1"/>
  <c r="V42" i="6"/>
  <c r="AD42" i="6" s="1"/>
  <c r="Q118" i="6"/>
  <c r="Y118" i="6" s="1"/>
  <c r="R118" i="6"/>
  <c r="Z118" i="6" s="1"/>
  <c r="T118" i="6"/>
  <c r="AB118" i="6" s="1"/>
  <c r="U118" i="6"/>
  <c r="AC118" i="6" s="1"/>
  <c r="S118" i="6"/>
  <c r="AA118" i="6" s="1"/>
  <c r="V118" i="6"/>
  <c r="AD118" i="6" s="1"/>
  <c r="R98" i="6"/>
  <c r="Z98" i="6" s="1"/>
  <c r="S98" i="6"/>
  <c r="AA98" i="6" s="1"/>
  <c r="Q98" i="6"/>
  <c r="Y98" i="6" s="1"/>
  <c r="T98" i="6"/>
  <c r="AB98" i="6" s="1"/>
  <c r="U98" i="6"/>
  <c r="AC98" i="6" s="1"/>
  <c r="V98" i="6"/>
  <c r="AD98" i="6" s="1"/>
  <c r="Q79" i="6"/>
  <c r="Y79" i="6" s="1"/>
  <c r="R79" i="6"/>
  <c r="Z79" i="6" s="1"/>
  <c r="T79" i="6"/>
  <c r="AB79" i="6" s="1"/>
  <c r="U79" i="6"/>
  <c r="AC79" i="6" s="1"/>
  <c r="S79" i="6"/>
  <c r="AA79" i="6" s="1"/>
  <c r="V79" i="6"/>
  <c r="AD79" i="6" s="1"/>
  <c r="Q70" i="6"/>
  <c r="Y70" i="6" s="1"/>
  <c r="R70" i="6"/>
  <c r="Z70" i="6" s="1"/>
  <c r="T70" i="6"/>
  <c r="AB70" i="6" s="1"/>
  <c r="U70" i="6"/>
  <c r="AC70" i="6" s="1"/>
  <c r="S70" i="6"/>
  <c r="AA70" i="6" s="1"/>
  <c r="V70" i="6"/>
  <c r="AD70" i="6" s="1"/>
  <c r="Q38" i="6"/>
  <c r="Y38" i="6" s="1"/>
  <c r="R38" i="6"/>
  <c r="Z38" i="6" s="1"/>
  <c r="S38" i="6"/>
  <c r="AA38" i="6" s="1"/>
  <c r="T38" i="6"/>
  <c r="AB38" i="6" s="1"/>
  <c r="U38" i="6"/>
  <c r="AC38" i="6" s="1"/>
  <c r="V38" i="6"/>
  <c r="AD38" i="6" s="1"/>
  <c r="S107" i="6"/>
  <c r="AA107" i="6" s="1"/>
  <c r="T107" i="6"/>
  <c r="AB107" i="6" s="1"/>
  <c r="V107" i="6"/>
  <c r="AD107" i="6" s="1"/>
  <c r="Q107" i="6"/>
  <c r="Y107" i="6" s="1"/>
  <c r="R107" i="6"/>
  <c r="Z107" i="6" s="1"/>
  <c r="U107" i="6"/>
  <c r="AC107" i="6" s="1"/>
  <c r="R105" i="6"/>
  <c r="Z105" i="6" s="1"/>
  <c r="S105" i="6"/>
  <c r="AA105" i="6" s="1"/>
  <c r="U105" i="6"/>
  <c r="AC105" i="6" s="1"/>
  <c r="V105" i="6"/>
  <c r="AD105" i="6" s="1"/>
  <c r="Q105" i="6"/>
  <c r="Y105" i="6" s="1"/>
  <c r="T105" i="6"/>
  <c r="AB105" i="6" s="1"/>
  <c r="Q100" i="6"/>
  <c r="Y100" i="6" s="1"/>
  <c r="S100" i="6"/>
  <c r="AA100" i="6" s="1"/>
  <c r="T100" i="6"/>
  <c r="AB100" i="6" s="1"/>
  <c r="U100" i="6"/>
  <c r="AC100" i="6" s="1"/>
  <c r="V100" i="6"/>
  <c r="AD100" i="6" s="1"/>
  <c r="R100" i="6"/>
  <c r="Z100" i="6" s="1"/>
  <c r="Q110" i="6"/>
  <c r="Y110" i="6" s="1"/>
  <c r="R110" i="6"/>
  <c r="Z110" i="6" s="1"/>
  <c r="T110" i="6"/>
  <c r="AB110" i="6" s="1"/>
  <c r="U110" i="6"/>
  <c r="AC110" i="6" s="1"/>
  <c r="S110" i="6"/>
  <c r="AA110" i="6" s="1"/>
  <c r="V110" i="6"/>
  <c r="AD110" i="6" s="1"/>
  <c r="S75" i="6"/>
  <c r="AA75" i="6" s="1"/>
  <c r="T75" i="6"/>
  <c r="AB75" i="6" s="1"/>
  <c r="V75" i="6"/>
  <c r="AD75" i="6" s="1"/>
  <c r="Q75" i="6"/>
  <c r="Y75" i="6" s="1"/>
  <c r="R75" i="6"/>
  <c r="Z75" i="6" s="1"/>
  <c r="U75" i="6"/>
  <c r="AC75" i="6" s="1"/>
  <c r="Q53" i="6"/>
  <c r="Y53" i="6" s="1"/>
  <c r="R53" i="6"/>
  <c r="Z53" i="6" s="1"/>
  <c r="S53" i="6"/>
  <c r="AA53" i="6" s="1"/>
  <c r="U53" i="6"/>
  <c r="AC53" i="6" s="1"/>
  <c r="V53" i="6"/>
  <c r="AD53" i="6" s="1"/>
  <c r="T53" i="6"/>
  <c r="AB53" i="6" s="1"/>
  <c r="R97" i="6"/>
  <c r="Z97" i="6" s="1"/>
  <c r="S97" i="6"/>
  <c r="AA97" i="6" s="1"/>
  <c r="U97" i="6"/>
  <c r="AC97" i="6" s="1"/>
  <c r="V97" i="6"/>
  <c r="AD97" i="6" s="1"/>
  <c r="Q97" i="6"/>
  <c r="Y97" i="6" s="1"/>
  <c r="T97" i="6"/>
  <c r="AB97" i="6" s="1"/>
  <c r="U96" i="6"/>
  <c r="AC96" i="6" s="1"/>
  <c r="V96" i="6"/>
  <c r="AD96" i="6" s="1"/>
  <c r="Q96" i="6"/>
  <c r="Y96" i="6" s="1"/>
  <c r="S96" i="6"/>
  <c r="AA96" i="6" s="1"/>
  <c r="T96" i="6"/>
  <c r="AB96" i="6" s="1"/>
  <c r="R96" i="6"/>
  <c r="Z96" i="6" s="1"/>
  <c r="S50" i="6"/>
  <c r="AA50" i="6" s="1"/>
  <c r="Q50" i="6"/>
  <c r="Y50" i="6" s="1"/>
  <c r="R50" i="6"/>
  <c r="Z50" i="6" s="1"/>
  <c r="T50" i="6"/>
  <c r="AB50" i="6" s="1"/>
  <c r="U50" i="6"/>
  <c r="AC50" i="6" s="1"/>
  <c r="V50" i="6"/>
  <c r="AD50" i="6" s="1"/>
  <c r="R58" i="6"/>
  <c r="Z58" i="6" s="1"/>
  <c r="S58" i="6"/>
  <c r="AA58" i="6" s="1"/>
  <c r="Q58" i="6"/>
  <c r="Y58" i="6" s="1"/>
  <c r="T58" i="6"/>
  <c r="AB58" i="6" s="1"/>
  <c r="U58" i="6"/>
  <c r="AC58" i="6" s="1"/>
  <c r="V58" i="6"/>
  <c r="AD58" i="6" s="1"/>
  <c r="Q31" i="6"/>
  <c r="Y31" i="6" s="1"/>
  <c r="U31" i="6"/>
  <c r="AC31" i="6" s="1"/>
  <c r="R31" i="6"/>
  <c r="Z31" i="6" s="1"/>
  <c r="S31" i="6"/>
  <c r="AA31" i="6" s="1"/>
  <c r="T31" i="6"/>
  <c r="AB31" i="6" s="1"/>
  <c r="V31" i="6"/>
  <c r="AD31" i="6" s="1"/>
  <c r="R66" i="6"/>
  <c r="Z66" i="6" s="1"/>
  <c r="S66" i="6"/>
  <c r="AA66" i="6" s="1"/>
  <c r="Q66" i="6"/>
  <c r="Y66" i="6" s="1"/>
  <c r="T66" i="6"/>
  <c r="AB66" i="6" s="1"/>
  <c r="U66" i="6"/>
  <c r="AC66" i="6" s="1"/>
  <c r="V66" i="6"/>
  <c r="AD66" i="6" s="1"/>
  <c r="Q95" i="6"/>
  <c r="Y95" i="6" s="1"/>
  <c r="U95" i="6"/>
  <c r="AC95" i="6" s="1"/>
  <c r="R95" i="6"/>
  <c r="Z95" i="6" s="1"/>
  <c r="T95" i="6"/>
  <c r="AB95" i="6" s="1"/>
  <c r="S95" i="6"/>
  <c r="AA95" i="6" s="1"/>
  <c r="V95" i="6"/>
  <c r="AD95" i="6" s="1"/>
  <c r="U40" i="6"/>
  <c r="AC40" i="6" s="1"/>
  <c r="V40" i="6"/>
  <c r="AD40" i="6" s="1"/>
  <c r="Q40" i="6"/>
  <c r="Y40" i="6" s="1"/>
  <c r="R40" i="6"/>
  <c r="Z40" i="6" s="1"/>
  <c r="S40" i="6"/>
  <c r="AA40" i="6" s="1"/>
  <c r="T40" i="6"/>
  <c r="AB40" i="6" s="1"/>
  <c r="S43" i="6"/>
  <c r="AA43" i="6" s="1"/>
  <c r="T43" i="6"/>
  <c r="AB43" i="6" s="1"/>
  <c r="U43" i="6"/>
  <c r="AC43" i="6" s="1"/>
  <c r="V43" i="6"/>
  <c r="AD43" i="6" s="1"/>
  <c r="Q43" i="6"/>
  <c r="Y43" i="6" s="1"/>
  <c r="R43" i="6"/>
  <c r="Z43" i="6" s="1"/>
  <c r="U72" i="6"/>
  <c r="AC72" i="6" s="1"/>
  <c r="V72" i="6"/>
  <c r="AD72" i="6" s="1"/>
  <c r="Q72" i="6"/>
  <c r="Y72" i="6" s="1"/>
  <c r="S72" i="6"/>
  <c r="AA72" i="6" s="1"/>
  <c r="T72" i="6"/>
  <c r="AB72" i="6" s="1"/>
  <c r="R72" i="6"/>
  <c r="Z72" i="6" s="1"/>
  <c r="Q52" i="6"/>
  <c r="Y52" i="6" s="1"/>
  <c r="S52" i="6"/>
  <c r="AA52" i="6" s="1"/>
  <c r="T52" i="6"/>
  <c r="AB52" i="6" s="1"/>
  <c r="V52" i="6"/>
  <c r="AD52" i="6" s="1"/>
  <c r="U52" i="6"/>
  <c r="AC52" i="6" s="1"/>
  <c r="R52" i="6"/>
  <c r="Z52" i="6" s="1"/>
  <c r="Q92" i="6"/>
  <c r="Y92" i="6" s="1"/>
  <c r="S92" i="6"/>
  <c r="AA92" i="6" s="1"/>
  <c r="T92" i="6"/>
  <c r="AB92" i="6" s="1"/>
  <c r="U92" i="6"/>
  <c r="AC92" i="6" s="1"/>
  <c r="V92" i="6"/>
  <c r="AD92" i="6" s="1"/>
  <c r="R92" i="6"/>
  <c r="Z92" i="6" s="1"/>
  <c r="R74" i="6"/>
  <c r="Z74" i="6" s="1"/>
  <c r="S74" i="6"/>
  <c r="AA74" i="6" s="1"/>
  <c r="Q74" i="6"/>
  <c r="Y74" i="6" s="1"/>
  <c r="T74" i="6"/>
  <c r="AB74" i="6" s="1"/>
  <c r="U74" i="6"/>
  <c r="AC74" i="6" s="1"/>
  <c r="V74" i="6"/>
  <c r="AD74" i="6" s="1"/>
  <c r="R89" i="6"/>
  <c r="Z89" i="6" s="1"/>
  <c r="S89" i="6"/>
  <c r="AA89" i="6" s="1"/>
  <c r="U89" i="6"/>
  <c r="AC89" i="6" s="1"/>
  <c r="V89" i="6"/>
  <c r="AD89" i="6" s="1"/>
  <c r="Q89" i="6"/>
  <c r="Y89" i="6" s="1"/>
  <c r="T89" i="6"/>
  <c r="AB89" i="6" s="1"/>
  <c r="Q23" i="6"/>
  <c r="Y23" i="6" s="1"/>
  <c r="U23" i="6"/>
  <c r="AC23" i="6" s="1"/>
  <c r="R23" i="6"/>
  <c r="Z23" i="6" s="1"/>
  <c r="S23" i="6"/>
  <c r="AA23" i="6" s="1"/>
  <c r="T23" i="6"/>
  <c r="AB23" i="6" s="1"/>
  <c r="V23" i="6"/>
  <c r="AD23" i="6" s="1"/>
  <c r="Q33" i="6"/>
  <c r="Y33" i="6" s="1"/>
  <c r="R33" i="6"/>
  <c r="Z33" i="6" s="1"/>
  <c r="S33" i="6"/>
  <c r="AA33" i="6" s="1"/>
  <c r="T33" i="6"/>
  <c r="AB33" i="6" s="1"/>
  <c r="U33" i="6"/>
  <c r="AC33" i="6" s="1"/>
  <c r="V33" i="6"/>
  <c r="AD33" i="6" s="1"/>
  <c r="Q71" i="6"/>
  <c r="Y71" i="6" s="1"/>
  <c r="R71" i="6"/>
  <c r="Z71" i="6" s="1"/>
  <c r="T71" i="6"/>
  <c r="AB71" i="6" s="1"/>
  <c r="S71" i="6"/>
  <c r="AA71" i="6" s="1"/>
  <c r="U71" i="6"/>
  <c r="AC71" i="6" s="1"/>
  <c r="V71" i="6"/>
  <c r="AD71" i="6" s="1"/>
  <c r="Q30" i="6"/>
  <c r="Y30" i="6" s="1"/>
  <c r="R30" i="6"/>
  <c r="Z30" i="6" s="1"/>
  <c r="S30" i="6"/>
  <c r="AA30" i="6" s="1"/>
  <c r="T30" i="6"/>
  <c r="AB30" i="6" s="1"/>
  <c r="U30" i="6"/>
  <c r="AC30" i="6" s="1"/>
  <c r="V30" i="6"/>
  <c r="AD30" i="6" s="1"/>
  <c r="Q29" i="6"/>
  <c r="Y29" i="6" s="1"/>
  <c r="R29" i="6"/>
  <c r="Z29" i="6" s="1"/>
  <c r="S29" i="6"/>
  <c r="AA29" i="6" s="1"/>
  <c r="T29" i="6"/>
  <c r="AB29" i="6" s="1"/>
  <c r="U29" i="6"/>
  <c r="AC29" i="6" s="1"/>
  <c r="V29" i="6"/>
  <c r="AD29" i="6" s="1"/>
  <c r="S90" i="6"/>
  <c r="AA90" i="6" s="1"/>
  <c r="R90" i="6"/>
  <c r="Z90" i="6" s="1"/>
  <c r="Q90" i="6"/>
  <c r="Y90" i="6" s="1"/>
  <c r="T90" i="6"/>
  <c r="AB90" i="6" s="1"/>
  <c r="U90" i="6"/>
  <c r="AC90" i="6" s="1"/>
  <c r="V90" i="6"/>
  <c r="AD90" i="6" s="1"/>
  <c r="Q60" i="6"/>
  <c r="Y60" i="6" s="1"/>
  <c r="S60" i="6"/>
  <c r="AA60" i="6" s="1"/>
  <c r="T60" i="6"/>
  <c r="AB60" i="6" s="1"/>
  <c r="U60" i="6"/>
  <c r="AC60" i="6" s="1"/>
  <c r="V60" i="6"/>
  <c r="AD60" i="6" s="1"/>
  <c r="R60" i="6"/>
  <c r="Z60" i="6" s="1"/>
  <c r="Q46" i="6"/>
  <c r="Y46" i="6" s="1"/>
  <c r="R46" i="6"/>
  <c r="Z46" i="6" s="1"/>
  <c r="S46" i="6"/>
  <c r="AA46" i="6" s="1"/>
  <c r="T46" i="6"/>
  <c r="AB46" i="6" s="1"/>
  <c r="U46" i="6"/>
  <c r="AC46" i="6" s="1"/>
  <c r="V46" i="6"/>
  <c r="AD46" i="6" s="1"/>
  <c r="R114" i="6"/>
  <c r="Z114" i="6" s="1"/>
  <c r="S114" i="6"/>
  <c r="AA114" i="6" s="1"/>
  <c r="Q114" i="6"/>
  <c r="Y114" i="6" s="1"/>
  <c r="T114" i="6"/>
  <c r="AB114" i="6" s="1"/>
  <c r="U114" i="6"/>
  <c r="AC114" i="6" s="1"/>
  <c r="V114" i="6"/>
  <c r="AD114" i="6" s="1"/>
  <c r="R73" i="6"/>
  <c r="Z73" i="6" s="1"/>
  <c r="S73" i="6"/>
  <c r="AA73" i="6" s="1"/>
  <c r="U73" i="6"/>
  <c r="AC73" i="6" s="1"/>
  <c r="V73" i="6"/>
  <c r="AD73" i="6" s="1"/>
  <c r="Q73" i="6"/>
  <c r="Y73" i="6" s="1"/>
  <c r="T73" i="6"/>
  <c r="AB73" i="6" s="1"/>
  <c r="S67" i="6"/>
  <c r="AA67" i="6" s="1"/>
  <c r="T67" i="6"/>
  <c r="AB67" i="6" s="1"/>
  <c r="V67" i="6"/>
  <c r="AD67" i="6" s="1"/>
  <c r="Q67" i="6"/>
  <c r="Y67" i="6" s="1"/>
  <c r="R67" i="6"/>
  <c r="Z67" i="6" s="1"/>
  <c r="U67" i="6"/>
  <c r="AC67" i="6" s="1"/>
  <c r="S83" i="6"/>
  <c r="AA83" i="6" s="1"/>
  <c r="T83" i="6"/>
  <c r="AB83" i="6" s="1"/>
  <c r="V83" i="6"/>
  <c r="AD83" i="6" s="1"/>
  <c r="Q83" i="6"/>
  <c r="Y83" i="6" s="1"/>
  <c r="R83" i="6"/>
  <c r="Z83" i="6" s="1"/>
  <c r="U83" i="6"/>
  <c r="AC83" i="6" s="1"/>
  <c r="U64" i="6"/>
  <c r="AC64" i="6" s="1"/>
  <c r="V64" i="6"/>
  <c r="AD64" i="6" s="1"/>
  <c r="Q64" i="6"/>
  <c r="Y64" i="6" s="1"/>
  <c r="S64" i="6"/>
  <c r="AA64" i="6" s="1"/>
  <c r="T64" i="6"/>
  <c r="AB64" i="6" s="1"/>
  <c r="R64" i="6"/>
  <c r="Z64" i="6" s="1"/>
  <c r="Q44" i="6"/>
  <c r="Y44" i="6" s="1"/>
  <c r="R44" i="6"/>
  <c r="Z44" i="6" s="1"/>
  <c r="S44" i="6"/>
  <c r="AA44" i="6" s="1"/>
  <c r="T44" i="6"/>
  <c r="AB44" i="6" s="1"/>
  <c r="U44" i="6"/>
  <c r="AC44" i="6" s="1"/>
  <c r="V44" i="6"/>
  <c r="AD44" i="6" s="1"/>
  <c r="Q77" i="6"/>
  <c r="Y77" i="6" s="1"/>
  <c r="R77" i="6"/>
  <c r="Z77" i="6" s="1"/>
  <c r="S77" i="6"/>
  <c r="AA77" i="6" s="1"/>
  <c r="U77" i="6"/>
  <c r="AC77" i="6" s="1"/>
  <c r="V77" i="6"/>
  <c r="AD77" i="6" s="1"/>
  <c r="T77" i="6"/>
  <c r="AB77" i="6" s="1"/>
  <c r="C120" i="6"/>
  <c r="H6" i="1"/>
  <c r="L9" i="1"/>
  <c r="L10" i="1" s="1"/>
  <c r="I19" i="4" s="1"/>
  <c r="C17" i="6" s="1"/>
  <c r="H5" i="1"/>
  <c r="H7" i="1"/>
  <c r="L17" i="6" l="1"/>
  <c r="H10" i="1"/>
  <c r="H9" i="1"/>
  <c r="L7" i="1" l="1"/>
  <c r="I35" i="4" s="1"/>
  <c r="L6" i="1"/>
  <c r="C11" i="6" s="1"/>
  <c r="AE96" i="4"/>
  <c r="AE65" i="4"/>
  <c r="AE75" i="4"/>
  <c r="AE108" i="4"/>
  <c r="AE22" i="4"/>
  <c r="AE87" i="4"/>
  <c r="AE15" i="4"/>
  <c r="AE18" i="4"/>
  <c r="AE83" i="4"/>
  <c r="AE100" i="4"/>
  <c r="AE14" i="4"/>
  <c r="AE79" i="4"/>
  <c r="AE89" i="4"/>
  <c r="AE17" i="4"/>
  <c r="AE28" i="4"/>
  <c r="AE101" i="4"/>
  <c r="AE29" i="4"/>
  <c r="AE40" i="4"/>
  <c r="AE97" i="4"/>
  <c r="AE25" i="4"/>
  <c r="AE36" i="4"/>
  <c r="AE93" i="4"/>
  <c r="AE21" i="4"/>
  <c r="AE32" i="4"/>
  <c r="AE105" i="4"/>
  <c r="AE33" i="4"/>
  <c r="AE44" i="4"/>
  <c r="AE76" i="4"/>
  <c r="AE45" i="4"/>
  <c r="AE56" i="4"/>
  <c r="AE72" i="4"/>
  <c r="AE41" i="4"/>
  <c r="AE52" i="4"/>
  <c r="AE68" i="4"/>
  <c r="AE37" i="4"/>
  <c r="AE48" i="4"/>
  <c r="AE58" i="4"/>
  <c r="AE82" i="4"/>
  <c r="AE51" i="4"/>
  <c r="AE69" i="4"/>
  <c r="AE94" i="4"/>
  <c r="AE63" i="4"/>
  <c r="AE66" i="4"/>
  <c r="AE90" i="4"/>
  <c r="AE59" i="4"/>
  <c r="AE62" i="4"/>
  <c r="AE86" i="4"/>
  <c r="AE55" i="4"/>
  <c r="AE104" i="4"/>
  <c r="AE73" i="4"/>
  <c r="AE98" i="4"/>
  <c r="AE85" i="4"/>
  <c r="AE13" i="4"/>
  <c r="AE24" i="4"/>
  <c r="AE81" i="4"/>
  <c r="AE106" i="4"/>
  <c r="AE20" i="4"/>
  <c r="AE77" i="4"/>
  <c r="AE102" i="4"/>
  <c r="AE16" i="4"/>
  <c r="AE26" i="4"/>
  <c r="AE91" i="4"/>
  <c r="AE19" i="4"/>
  <c r="AE38" i="4"/>
  <c r="AE103" i="4"/>
  <c r="AE31" i="4"/>
  <c r="AE34" i="4"/>
  <c r="AE99" i="4"/>
  <c r="AE27" i="4"/>
  <c r="AE30" i="4"/>
  <c r="AE95" i="4"/>
  <c r="AE23" i="4"/>
  <c r="AE39" i="4"/>
  <c r="AE42" i="4"/>
  <c r="AE107" i="4"/>
  <c r="AE35" i="4"/>
  <c r="AE54" i="4"/>
  <c r="AE78" i="4"/>
  <c r="AE47" i="4"/>
  <c r="AE50" i="4"/>
  <c r="AE74" i="4"/>
  <c r="AE43" i="4"/>
  <c r="AE46" i="4"/>
  <c r="AE70" i="4"/>
  <c r="AE80" i="4"/>
  <c r="AE49" i="4"/>
  <c r="AE60" i="4"/>
  <c r="AE92" i="4"/>
  <c r="AE61" i="4"/>
  <c r="AE71" i="4"/>
  <c r="AE88" i="4"/>
  <c r="AE57" i="4"/>
  <c r="AE67" i="4"/>
  <c r="AE84" i="4"/>
  <c r="AE53" i="4"/>
  <c r="AE64" i="4"/>
  <c r="L5" i="1"/>
  <c r="I23" i="4" s="1"/>
  <c r="K16" i="6"/>
  <c r="AD17" i="6" l="1"/>
  <c r="J23" i="4" s="1"/>
  <c r="K23" i="4" s="1"/>
  <c r="AA12" i="4"/>
  <c r="Y17" i="6"/>
  <c r="I27" i="4" s="1"/>
  <c r="V17" i="6"/>
  <c r="V18" i="6" s="1"/>
  <c r="AA79" i="4"/>
  <c r="T17" i="6"/>
  <c r="T18" i="6" s="1"/>
  <c r="U17" i="6"/>
  <c r="U18" i="6" s="1"/>
  <c r="S17" i="6"/>
  <c r="S18" i="6" s="1"/>
  <c r="Q17" i="6"/>
  <c r="Q18" i="6" s="1"/>
  <c r="R17" i="6"/>
  <c r="R18" i="6" s="1"/>
  <c r="Y35" i="4"/>
  <c r="AA63" i="4"/>
  <c r="AD32" i="4"/>
  <c r="Y36" i="4"/>
  <c r="Z77" i="4"/>
  <c r="Z87" i="4"/>
  <c r="Y16" i="4"/>
  <c r="Z57" i="4"/>
  <c r="AD83" i="4"/>
  <c r="AD104" i="4"/>
  <c r="Y52" i="4"/>
  <c r="Y88" i="4"/>
  <c r="AA60" i="4"/>
  <c r="AA88" i="4"/>
  <c r="Y40" i="4"/>
  <c r="AA108" i="4"/>
  <c r="Y42" i="4"/>
  <c r="AD69" i="4"/>
  <c r="Y58" i="4"/>
  <c r="Y19" i="4"/>
  <c r="Y101" i="4"/>
  <c r="Z13" i="4"/>
  <c r="Z20" i="4"/>
  <c r="Y94" i="4"/>
  <c r="Z19" i="4"/>
  <c r="Z80" i="4"/>
  <c r="Z47" i="4"/>
  <c r="AA51" i="4"/>
  <c r="AA40" i="4"/>
  <c r="AA56" i="4"/>
  <c r="Y90" i="4"/>
  <c r="AD85" i="4"/>
  <c r="Z55" i="4"/>
  <c r="Z24" i="4"/>
  <c r="Y100" i="4"/>
  <c r="AA76" i="4"/>
  <c r="Z32" i="4"/>
  <c r="Y102" i="4"/>
  <c r="Z67" i="4"/>
  <c r="AA78" i="4"/>
  <c r="AD99" i="4"/>
  <c r="Z42" i="4"/>
  <c r="AA87" i="4"/>
  <c r="Y46" i="4"/>
  <c r="Z63" i="4"/>
  <c r="AD93" i="4"/>
  <c r="AA83" i="4"/>
  <c r="Y48" i="4"/>
  <c r="Y50" i="4"/>
  <c r="Y106" i="4"/>
  <c r="Z71" i="4"/>
  <c r="AA86" i="4"/>
  <c r="Y17" i="4"/>
  <c r="Z52" i="4"/>
  <c r="AA103" i="4"/>
  <c r="Z56" i="4"/>
  <c r="AA105" i="4"/>
  <c r="Y14" i="4"/>
  <c r="Y56" i="4"/>
  <c r="Z15" i="4"/>
  <c r="Z85" i="4"/>
  <c r="AA102" i="4"/>
  <c r="Y25" i="4"/>
  <c r="Z74" i="4"/>
  <c r="AD30" i="4"/>
  <c r="AD21" i="4"/>
  <c r="Y20" i="4"/>
  <c r="Y68" i="4"/>
  <c r="Z25" i="4"/>
  <c r="Z99" i="4"/>
  <c r="AD29" i="4"/>
  <c r="Y49" i="4"/>
  <c r="Z98" i="4"/>
  <c r="AD54" i="4"/>
  <c r="Y64" i="4"/>
  <c r="AD40" i="4"/>
  <c r="Y24" i="4"/>
  <c r="AD35" i="4"/>
  <c r="Y67" i="4"/>
  <c r="AD62" i="4"/>
  <c r="Y26" i="4"/>
  <c r="Y72" i="4"/>
  <c r="Z35" i="4"/>
  <c r="AA14" i="4"/>
  <c r="AD37" i="4"/>
  <c r="Y69" i="4"/>
  <c r="AA23" i="4"/>
  <c r="AD64" i="4"/>
  <c r="Y18" i="4"/>
  <c r="Y41" i="4"/>
  <c r="Y70" i="4"/>
  <c r="Y78" i="4"/>
  <c r="Z37" i="4"/>
  <c r="AA28" i="4"/>
  <c r="AD45" i="4"/>
  <c r="Y73" i="4"/>
  <c r="AA33" i="4"/>
  <c r="AD82" i="4"/>
  <c r="Z23" i="4"/>
  <c r="Z105" i="4"/>
  <c r="Z104" i="4"/>
  <c r="Y32" i="4"/>
  <c r="Z39" i="4"/>
  <c r="AA30" i="4"/>
  <c r="AD59" i="4"/>
  <c r="Y75" i="4"/>
  <c r="AA35" i="4"/>
  <c r="AD90" i="4"/>
  <c r="Z89" i="4"/>
  <c r="Z96" i="4"/>
  <c r="Z31" i="4"/>
  <c r="Y30" i="4"/>
  <c r="Y80" i="4"/>
  <c r="Y34" i="4"/>
  <c r="Y86" i="4"/>
  <c r="Z45" i="4"/>
  <c r="AA38" i="4"/>
  <c r="AD67" i="4"/>
  <c r="Y97" i="4"/>
  <c r="AA49" i="4"/>
  <c r="Y22" i="4"/>
  <c r="Y38" i="4"/>
  <c r="Y54" i="4"/>
  <c r="Y74" i="4"/>
  <c r="Y96" i="4"/>
  <c r="Z21" i="4"/>
  <c r="Z41" i="4"/>
  <c r="Z69" i="4"/>
  <c r="Z103" i="4"/>
  <c r="AA54" i="4"/>
  <c r="AA92" i="4"/>
  <c r="AD43" i="4"/>
  <c r="AD91" i="4"/>
  <c r="Y37" i="4"/>
  <c r="Y91" i="4"/>
  <c r="Z50" i="4"/>
  <c r="Z100" i="4"/>
  <c r="AA57" i="4"/>
  <c r="AD16" i="4"/>
  <c r="AD66" i="4"/>
  <c r="Y28" i="4"/>
  <c r="Y44" i="4"/>
  <c r="Y62" i="4"/>
  <c r="Y84" i="4"/>
  <c r="Y104" i="4"/>
  <c r="Z29" i="4"/>
  <c r="Z51" i="4"/>
  <c r="Z79" i="4"/>
  <c r="AA24" i="4"/>
  <c r="AA62" i="4"/>
  <c r="AD13" i="4"/>
  <c r="AD61" i="4"/>
  <c r="AD107" i="4"/>
  <c r="Y51" i="4"/>
  <c r="Z18" i="4"/>
  <c r="Z68" i="4"/>
  <c r="AA25" i="4"/>
  <c r="AA81" i="4"/>
  <c r="AD34" i="4"/>
  <c r="AD92" i="4"/>
  <c r="Z53" i="4"/>
  <c r="Z73" i="4"/>
  <c r="Z101" i="4"/>
  <c r="AA36" i="4"/>
  <c r="AA68" i="4"/>
  <c r="AA104" i="4"/>
  <c r="AD39" i="4"/>
  <c r="AD71" i="4"/>
  <c r="Y43" i="4"/>
  <c r="Y89" i="4"/>
  <c r="Z26" i="4"/>
  <c r="Z72" i="4"/>
  <c r="Z106" i="4"/>
  <c r="AA55" i="4"/>
  <c r="AA99" i="4"/>
  <c r="AD38" i="4"/>
  <c r="AD84" i="4"/>
  <c r="Z61" i="4"/>
  <c r="Z83" i="4"/>
  <c r="AA52" i="4"/>
  <c r="AA84" i="4"/>
  <c r="AD19" i="4"/>
  <c r="AD55" i="4"/>
  <c r="AD87" i="4"/>
  <c r="Y21" i="4"/>
  <c r="Y65" i="4"/>
  <c r="Y99" i="4"/>
  <c r="Z48" i="4"/>
  <c r="Z82" i="4"/>
  <c r="AA31" i="4"/>
  <c r="AA73" i="4"/>
  <c r="AD14" i="4"/>
  <c r="AD56" i="4"/>
  <c r="AD98" i="4"/>
  <c r="Z93" i="4"/>
  <c r="AA20" i="4"/>
  <c r="AA44" i="4"/>
  <c r="AA70" i="4"/>
  <c r="AA94" i="4"/>
  <c r="AD23" i="4"/>
  <c r="AD51" i="4"/>
  <c r="AD75" i="4"/>
  <c r="AD101" i="4"/>
  <c r="Y27" i="4"/>
  <c r="Y53" i="4"/>
  <c r="Y81" i="4"/>
  <c r="Y105" i="4"/>
  <c r="Z34" i="4"/>
  <c r="Z58" i="4"/>
  <c r="Z84" i="4"/>
  <c r="AA15" i="4"/>
  <c r="AA39" i="4"/>
  <c r="AA65" i="4"/>
  <c r="AA89" i="4"/>
  <c r="AD18" i="4"/>
  <c r="AD46" i="4"/>
  <c r="AD70" i="4"/>
  <c r="AD100" i="4"/>
  <c r="Z95" i="4"/>
  <c r="AA22" i="4"/>
  <c r="AA46" i="4"/>
  <c r="AA72" i="4"/>
  <c r="AA100" i="4"/>
  <c r="AD27" i="4"/>
  <c r="AD53" i="4"/>
  <c r="AD77" i="4"/>
  <c r="AD103" i="4"/>
  <c r="Y33" i="4"/>
  <c r="Y57" i="4"/>
  <c r="Y83" i="4"/>
  <c r="Y107" i="4"/>
  <c r="Z36" i="4"/>
  <c r="Z64" i="4"/>
  <c r="Z88" i="4"/>
  <c r="AA17" i="4"/>
  <c r="AA41" i="4"/>
  <c r="AA67" i="4"/>
  <c r="AA95" i="4"/>
  <c r="AD22" i="4"/>
  <c r="AD48" i="4"/>
  <c r="AD74" i="4"/>
  <c r="AD102" i="4"/>
  <c r="Y59" i="4"/>
  <c r="Y85" i="4"/>
  <c r="Z16" i="4"/>
  <c r="Z40" i="4"/>
  <c r="Z66" i="4"/>
  <c r="Z90" i="4"/>
  <c r="AA19" i="4"/>
  <c r="AA47" i="4"/>
  <c r="AA71" i="4"/>
  <c r="AA97" i="4"/>
  <c r="AD24" i="4"/>
  <c r="AD50" i="4"/>
  <c r="AD80" i="4"/>
  <c r="AD108" i="4"/>
  <c r="Y60" i="4"/>
  <c r="Y76" i="4"/>
  <c r="Y92" i="4"/>
  <c r="Y108" i="4"/>
  <c r="Z27" i="4"/>
  <c r="Z43" i="4"/>
  <c r="Z59" i="4"/>
  <c r="Z75" i="4"/>
  <c r="Z91" i="4"/>
  <c r="Z107" i="4"/>
  <c r="AA26" i="4"/>
  <c r="AA42" i="4"/>
  <c r="AA58" i="4"/>
  <c r="AA74" i="4"/>
  <c r="AA90" i="4"/>
  <c r="AA106" i="4"/>
  <c r="AD25" i="4"/>
  <c r="AD41" i="4"/>
  <c r="AD57" i="4"/>
  <c r="AD73" i="4"/>
  <c r="AD89" i="4"/>
  <c r="AD105" i="4"/>
  <c r="Y23" i="4"/>
  <c r="Y39" i="4"/>
  <c r="Y55" i="4"/>
  <c r="Y71" i="4"/>
  <c r="Y87" i="4"/>
  <c r="Y103" i="4"/>
  <c r="Z22" i="4"/>
  <c r="Z38" i="4"/>
  <c r="Z54" i="4"/>
  <c r="Z70" i="4"/>
  <c r="Z86" i="4"/>
  <c r="Z102" i="4"/>
  <c r="AA21" i="4"/>
  <c r="AA37" i="4"/>
  <c r="AA53" i="4"/>
  <c r="AA69" i="4"/>
  <c r="AA85" i="4"/>
  <c r="AA101" i="4"/>
  <c r="AD20" i="4"/>
  <c r="AD36" i="4"/>
  <c r="AD52" i="4"/>
  <c r="AD68" i="4"/>
  <c r="AD86" i="4"/>
  <c r="AD106" i="4"/>
  <c r="Y66" i="4"/>
  <c r="Y82" i="4"/>
  <c r="Y98" i="4"/>
  <c r="Z17" i="4"/>
  <c r="Z33" i="4"/>
  <c r="Z49" i="4"/>
  <c r="Z65" i="4"/>
  <c r="Z81" i="4"/>
  <c r="Z97" i="4"/>
  <c r="AA16" i="4"/>
  <c r="AA32" i="4"/>
  <c r="AA48" i="4"/>
  <c r="AA64" i="4"/>
  <c r="AA80" i="4"/>
  <c r="AA96" i="4"/>
  <c r="AD15" i="4"/>
  <c r="AD31" i="4"/>
  <c r="AD47" i="4"/>
  <c r="AD63" i="4"/>
  <c r="AD79" i="4"/>
  <c r="AD95" i="4"/>
  <c r="Y13" i="4"/>
  <c r="Y29" i="4"/>
  <c r="Y45" i="4"/>
  <c r="Y61" i="4"/>
  <c r="Y77" i="4"/>
  <c r="Y93" i="4"/>
  <c r="Z28" i="4"/>
  <c r="Z44" i="4"/>
  <c r="Z60" i="4"/>
  <c r="Z76" i="4"/>
  <c r="Z92" i="4"/>
  <c r="Z108" i="4"/>
  <c r="AA27" i="4"/>
  <c r="AA43" i="4"/>
  <c r="AA59" i="4"/>
  <c r="AA75" i="4"/>
  <c r="AA91" i="4"/>
  <c r="AA107" i="4"/>
  <c r="AD26" i="4"/>
  <c r="AD42" i="4"/>
  <c r="AD58" i="4"/>
  <c r="AD76" i="4"/>
  <c r="AD94" i="4"/>
  <c r="AA18" i="4"/>
  <c r="AA34" i="4"/>
  <c r="AA50" i="4"/>
  <c r="AA66" i="4"/>
  <c r="AA82" i="4"/>
  <c r="AA98" i="4"/>
  <c r="AD17" i="4"/>
  <c r="AD33" i="4"/>
  <c r="AD49" i="4"/>
  <c r="AD65" i="4"/>
  <c r="AD81" i="4"/>
  <c r="AD97" i="4"/>
  <c r="Y15" i="4"/>
  <c r="Y31" i="4"/>
  <c r="Y47" i="4"/>
  <c r="Y63" i="4"/>
  <c r="Y79" i="4"/>
  <c r="Y95" i="4"/>
  <c r="Z14" i="4"/>
  <c r="Z30" i="4"/>
  <c r="Z46" i="4"/>
  <c r="Z62" i="4"/>
  <c r="Z78" i="4"/>
  <c r="Z94" i="4"/>
  <c r="AA13" i="4"/>
  <c r="AA29" i="4"/>
  <c r="AA45" i="4"/>
  <c r="AA61" i="4"/>
  <c r="AA77" i="4"/>
  <c r="AA93" i="4"/>
  <c r="AD28" i="4"/>
  <c r="AD44" i="4"/>
  <c r="AD60" i="4"/>
  <c r="AD78" i="4"/>
  <c r="AD96" i="4"/>
  <c r="I34" i="4"/>
  <c r="AD72" i="4"/>
  <c r="AD88" i="4"/>
  <c r="I36" i="4"/>
  <c r="I16" i="6"/>
  <c r="AE12" i="4"/>
  <c r="J16" i="6"/>
  <c r="AG80" i="6" l="1"/>
  <c r="AH80" i="6"/>
  <c r="AI80" i="6"/>
  <c r="AJ80" i="6"/>
  <c r="AG117" i="6"/>
  <c r="AH117" i="6"/>
  <c r="AI117" i="6"/>
  <c r="AJ117" i="6"/>
  <c r="AI63" i="6"/>
  <c r="AJ63" i="6"/>
  <c r="AG63" i="6"/>
  <c r="AH63" i="6"/>
  <c r="AI75" i="6"/>
  <c r="AJ75" i="6"/>
  <c r="AG75" i="6"/>
  <c r="AH75" i="6"/>
  <c r="AH54" i="6"/>
  <c r="AG54" i="6"/>
  <c r="AI54" i="6"/>
  <c r="AJ54" i="6"/>
  <c r="AI94" i="6"/>
  <c r="AG94" i="6"/>
  <c r="AH94" i="6"/>
  <c r="AJ94" i="6"/>
  <c r="AG78" i="6"/>
  <c r="AH78" i="6"/>
  <c r="AI78" i="6"/>
  <c r="AJ78" i="6"/>
  <c r="AG34" i="6"/>
  <c r="AH34" i="6"/>
  <c r="AI34" i="6"/>
  <c r="AJ34" i="6"/>
  <c r="AG48" i="6"/>
  <c r="AH48" i="6"/>
  <c r="AI48" i="6"/>
  <c r="AJ48" i="6"/>
  <c r="AI39" i="6"/>
  <c r="AJ39" i="6"/>
  <c r="AG39" i="6"/>
  <c r="AH39" i="6"/>
  <c r="AI47" i="6"/>
  <c r="AJ47" i="6"/>
  <c r="AG47" i="6"/>
  <c r="AH47" i="6"/>
  <c r="AG49" i="6"/>
  <c r="AH49" i="6"/>
  <c r="AI49" i="6"/>
  <c r="AJ49" i="6"/>
  <c r="AG30" i="6"/>
  <c r="AH30" i="6"/>
  <c r="AI30" i="6"/>
  <c r="AJ30" i="6"/>
  <c r="AG62" i="6"/>
  <c r="AI62" i="6"/>
  <c r="AJ62" i="6"/>
  <c r="AH62" i="6"/>
  <c r="AG46" i="6"/>
  <c r="AH46" i="6"/>
  <c r="AI46" i="6"/>
  <c r="AJ46" i="6"/>
  <c r="AG24" i="6"/>
  <c r="AH24" i="6"/>
  <c r="AI24" i="6"/>
  <c r="AJ24" i="6"/>
  <c r="AG96" i="6"/>
  <c r="AH96" i="6"/>
  <c r="AI96" i="6"/>
  <c r="AJ96" i="6"/>
  <c r="AG86" i="6"/>
  <c r="AH86" i="6"/>
  <c r="AI86" i="6"/>
  <c r="AJ86" i="6"/>
  <c r="AI23" i="6"/>
  <c r="AJ23" i="6"/>
  <c r="AG23" i="6"/>
  <c r="AH23" i="6"/>
  <c r="AJ85" i="6"/>
  <c r="AG85" i="6"/>
  <c r="AH85" i="6"/>
  <c r="AI85" i="6"/>
  <c r="AI31" i="6"/>
  <c r="AJ31" i="6"/>
  <c r="AG31" i="6"/>
  <c r="AH31" i="6"/>
  <c r="AH25" i="6"/>
  <c r="AG25" i="6"/>
  <c r="AI25" i="6"/>
  <c r="AJ25" i="6"/>
  <c r="AG102" i="6"/>
  <c r="AH102" i="6"/>
  <c r="AI102" i="6"/>
  <c r="AJ102" i="6"/>
  <c r="AG69" i="6"/>
  <c r="AH69" i="6"/>
  <c r="AJ69" i="6"/>
  <c r="AI69" i="6"/>
  <c r="AG64" i="6"/>
  <c r="AH64" i="6"/>
  <c r="AI64" i="6"/>
  <c r="AJ64" i="6"/>
  <c r="AG73" i="6"/>
  <c r="AH73" i="6"/>
  <c r="AI73" i="6"/>
  <c r="AJ73" i="6"/>
  <c r="AG53" i="6"/>
  <c r="AH53" i="6"/>
  <c r="AI53" i="6"/>
  <c r="AJ53" i="6"/>
  <c r="AI43" i="6"/>
  <c r="AJ43" i="6"/>
  <c r="AG43" i="6"/>
  <c r="AH43" i="6"/>
  <c r="AG116" i="6"/>
  <c r="AJ116" i="6"/>
  <c r="AH116" i="6"/>
  <c r="AI116" i="6"/>
  <c r="AJ118" i="6"/>
  <c r="AG118" i="6"/>
  <c r="AH118" i="6"/>
  <c r="AI118" i="6"/>
  <c r="AI99" i="6"/>
  <c r="AJ99" i="6"/>
  <c r="AH99" i="6"/>
  <c r="AG99" i="6"/>
  <c r="AG100" i="6"/>
  <c r="AJ100" i="6"/>
  <c r="AH100" i="6"/>
  <c r="AI100" i="6"/>
  <c r="AH110" i="6"/>
  <c r="AI110" i="6"/>
  <c r="AJ110" i="6"/>
  <c r="AG110" i="6"/>
  <c r="AI83" i="6"/>
  <c r="AJ83" i="6"/>
  <c r="AG83" i="6"/>
  <c r="AH83" i="6"/>
  <c r="AI109" i="6"/>
  <c r="AH109" i="6"/>
  <c r="AG109" i="6"/>
  <c r="AJ109" i="6"/>
  <c r="AG93" i="6"/>
  <c r="AH93" i="6"/>
  <c r="AI93" i="6"/>
  <c r="AJ93" i="6"/>
  <c r="AI71" i="6"/>
  <c r="AJ71" i="6"/>
  <c r="AG71" i="6"/>
  <c r="AH71" i="6"/>
  <c r="AG76" i="6"/>
  <c r="AH76" i="6"/>
  <c r="AI76" i="6"/>
  <c r="AJ76" i="6"/>
  <c r="AI105" i="6"/>
  <c r="AJ105" i="6"/>
  <c r="AG105" i="6"/>
  <c r="AH105" i="6"/>
  <c r="AG82" i="6"/>
  <c r="AH82" i="6"/>
  <c r="AI82" i="6"/>
  <c r="AJ82" i="6"/>
  <c r="AG41" i="6"/>
  <c r="AH41" i="6"/>
  <c r="AI41" i="6"/>
  <c r="AJ41" i="6"/>
  <c r="AG65" i="6"/>
  <c r="AH65" i="6"/>
  <c r="AI65" i="6"/>
  <c r="AJ65" i="6"/>
  <c r="AI91" i="6"/>
  <c r="AJ91" i="6"/>
  <c r="AG91" i="6"/>
  <c r="AH91" i="6"/>
  <c r="AH38" i="6"/>
  <c r="AG38" i="6"/>
  <c r="AI38" i="6"/>
  <c r="AJ38" i="6"/>
  <c r="AG112" i="6"/>
  <c r="AH112" i="6"/>
  <c r="AI112" i="6"/>
  <c r="AJ112" i="6"/>
  <c r="AG66" i="6"/>
  <c r="AH66" i="6"/>
  <c r="AI66" i="6"/>
  <c r="AJ66" i="6"/>
  <c r="AG98" i="6"/>
  <c r="AH98" i="6"/>
  <c r="AI98" i="6"/>
  <c r="AJ98" i="6"/>
  <c r="AI55" i="6"/>
  <c r="AJ55" i="6"/>
  <c r="AG55" i="6"/>
  <c r="AH55" i="6"/>
  <c r="AG37" i="6"/>
  <c r="AH37" i="6"/>
  <c r="AI37" i="6"/>
  <c r="AJ37" i="6"/>
  <c r="AG60" i="6"/>
  <c r="AH60" i="6"/>
  <c r="AI60" i="6"/>
  <c r="AJ60" i="6"/>
  <c r="AJ106" i="6"/>
  <c r="AG106" i="6"/>
  <c r="AH106" i="6"/>
  <c r="AI106" i="6"/>
  <c r="AG68" i="6"/>
  <c r="AH68" i="6"/>
  <c r="AI68" i="6"/>
  <c r="AJ68" i="6"/>
  <c r="AH77" i="6"/>
  <c r="AI77" i="6"/>
  <c r="AG77" i="6"/>
  <c r="AJ77" i="6"/>
  <c r="AG56" i="6"/>
  <c r="AH56" i="6"/>
  <c r="AI56" i="6"/>
  <c r="AJ56" i="6"/>
  <c r="AI35" i="6"/>
  <c r="AJ35" i="6"/>
  <c r="AH35" i="6"/>
  <c r="AG35" i="6"/>
  <c r="AG50" i="6"/>
  <c r="AH50" i="6"/>
  <c r="AI50" i="6"/>
  <c r="AJ50" i="6"/>
  <c r="AJ70" i="6"/>
  <c r="AG70" i="6"/>
  <c r="AH70" i="6"/>
  <c r="AI70" i="6"/>
  <c r="AG44" i="6"/>
  <c r="AH44" i="6"/>
  <c r="AI44" i="6"/>
  <c r="AJ44" i="6"/>
  <c r="AG52" i="6"/>
  <c r="AH52" i="6"/>
  <c r="AI52" i="6"/>
  <c r="AJ52" i="6"/>
  <c r="AI107" i="6"/>
  <c r="AJ107" i="6"/>
  <c r="AG107" i="6"/>
  <c r="AH107" i="6"/>
  <c r="AI51" i="6"/>
  <c r="AJ51" i="6"/>
  <c r="AH51" i="6"/>
  <c r="AG51" i="6"/>
  <c r="AG32" i="6"/>
  <c r="AH32" i="6"/>
  <c r="AI32" i="6"/>
  <c r="AJ32" i="6"/>
  <c r="AG61" i="6"/>
  <c r="AH61" i="6"/>
  <c r="AI61" i="6"/>
  <c r="AJ61" i="6"/>
  <c r="AI79" i="6"/>
  <c r="AJ79" i="6"/>
  <c r="AG79" i="6"/>
  <c r="AH79" i="6"/>
  <c r="AG28" i="6"/>
  <c r="AH28" i="6"/>
  <c r="AI28" i="6"/>
  <c r="AJ28" i="6"/>
  <c r="AI74" i="6"/>
  <c r="AJ74" i="6"/>
  <c r="AG74" i="6"/>
  <c r="AH74" i="6"/>
  <c r="AG36" i="6"/>
  <c r="AH36" i="6"/>
  <c r="AI36" i="6"/>
  <c r="AJ36" i="6"/>
  <c r="AG81" i="6"/>
  <c r="AH81" i="6"/>
  <c r="AI81" i="6"/>
  <c r="AJ81" i="6"/>
  <c r="AI27" i="6"/>
  <c r="AJ27" i="6"/>
  <c r="AG27" i="6"/>
  <c r="AH27" i="6"/>
  <c r="AG45" i="6"/>
  <c r="AH45" i="6"/>
  <c r="AI45" i="6"/>
  <c r="AJ45" i="6"/>
  <c r="AG97" i="6"/>
  <c r="AH97" i="6"/>
  <c r="AI97" i="6"/>
  <c r="AJ97" i="6"/>
  <c r="AJ89" i="6"/>
  <c r="AG89" i="6"/>
  <c r="AI89" i="6"/>
  <c r="AH89" i="6"/>
  <c r="AG72" i="6"/>
  <c r="AJ72" i="6"/>
  <c r="AH72" i="6"/>
  <c r="AI72" i="6"/>
  <c r="AG108" i="6"/>
  <c r="AH108" i="6"/>
  <c r="AI108" i="6"/>
  <c r="AJ108" i="6"/>
  <c r="AG58" i="6"/>
  <c r="AH58" i="6"/>
  <c r="AI58" i="6"/>
  <c r="AJ58" i="6"/>
  <c r="AG57" i="6"/>
  <c r="AH57" i="6"/>
  <c r="AI57" i="6"/>
  <c r="AJ57" i="6"/>
  <c r="AI67" i="6"/>
  <c r="AJ67" i="6"/>
  <c r="AH67" i="6"/>
  <c r="AG67" i="6"/>
  <c r="AG92" i="6"/>
  <c r="AH92" i="6"/>
  <c r="AI92" i="6"/>
  <c r="AJ92" i="6"/>
  <c r="AI90" i="6"/>
  <c r="AJ90" i="6"/>
  <c r="AG90" i="6"/>
  <c r="AH90" i="6"/>
  <c r="AG29" i="6"/>
  <c r="AH29" i="6"/>
  <c r="AI29" i="6"/>
  <c r="AJ29" i="6"/>
  <c r="AI115" i="6"/>
  <c r="AJ115" i="6"/>
  <c r="AG115" i="6"/>
  <c r="AH115" i="6"/>
  <c r="AG101" i="6"/>
  <c r="AH101" i="6"/>
  <c r="AJ101" i="6"/>
  <c r="AI101" i="6"/>
  <c r="AI103" i="6"/>
  <c r="AJ103" i="6"/>
  <c r="AG103" i="6"/>
  <c r="AH103" i="6"/>
  <c r="AG26" i="6"/>
  <c r="AH26" i="6"/>
  <c r="AI26" i="6"/>
  <c r="AJ26" i="6"/>
  <c r="AI111" i="6"/>
  <c r="AJ111" i="6"/>
  <c r="AH111" i="6"/>
  <c r="AG111" i="6"/>
  <c r="AI59" i="6"/>
  <c r="AJ59" i="6"/>
  <c r="AH59" i="6"/>
  <c r="AG59" i="6"/>
  <c r="AG40" i="6"/>
  <c r="AH40" i="6"/>
  <c r="AI40" i="6"/>
  <c r="AJ40" i="6"/>
  <c r="AG88" i="6"/>
  <c r="AH88" i="6"/>
  <c r="AI88" i="6"/>
  <c r="AJ88" i="6"/>
  <c r="AJ22" i="6"/>
  <c r="AG22" i="6"/>
  <c r="AH22" i="6"/>
  <c r="AI22" i="6"/>
  <c r="AG114" i="6"/>
  <c r="AH114" i="6"/>
  <c r="AI114" i="6"/>
  <c r="AJ114" i="6"/>
  <c r="AG84" i="6"/>
  <c r="AJ84" i="6"/>
  <c r="AH84" i="6"/>
  <c r="AI84" i="6"/>
  <c r="AG42" i="6"/>
  <c r="AH42" i="6"/>
  <c r="AI42" i="6"/>
  <c r="AJ42" i="6"/>
  <c r="AI87" i="6"/>
  <c r="AJ87" i="6"/>
  <c r="AG87" i="6"/>
  <c r="AH87" i="6"/>
  <c r="AI95" i="6"/>
  <c r="AJ95" i="6"/>
  <c r="AH95" i="6"/>
  <c r="AG95" i="6"/>
  <c r="AG104" i="6"/>
  <c r="AJ104" i="6"/>
  <c r="AI104" i="6"/>
  <c r="AH104" i="6"/>
  <c r="AG33" i="6"/>
  <c r="AH33" i="6"/>
  <c r="AI33" i="6"/>
  <c r="AJ33" i="6"/>
  <c r="AG113" i="6"/>
  <c r="AH113" i="6"/>
  <c r="AI113" i="6"/>
  <c r="AJ113" i="6"/>
  <c r="AF33" i="4"/>
  <c r="AF42" i="4"/>
  <c r="AF21" i="4"/>
  <c r="AF77" i="4"/>
  <c r="AF38" i="4"/>
  <c r="AF80" i="4"/>
  <c r="AF45" i="4"/>
  <c r="AF107" i="4"/>
  <c r="AF103" i="4"/>
  <c r="AF106" i="4"/>
  <c r="AF71" i="4"/>
  <c r="AF48" i="4"/>
  <c r="AF102" i="4"/>
  <c r="AF75" i="4"/>
  <c r="AF74" i="4"/>
  <c r="AF39" i="4"/>
  <c r="AF16" i="4"/>
  <c r="AF70" i="4"/>
  <c r="AF43" i="4"/>
  <c r="AF98" i="4"/>
  <c r="AF66" i="4"/>
  <c r="AF34" i="4"/>
  <c r="AF95" i="4"/>
  <c r="AF63" i="4"/>
  <c r="AF31" i="4"/>
  <c r="AF104" i="4"/>
  <c r="AF72" i="4"/>
  <c r="AF40" i="4"/>
  <c r="AF101" i="4"/>
  <c r="AF69" i="4"/>
  <c r="AF37" i="4"/>
  <c r="AF94" i="4"/>
  <c r="AF62" i="4"/>
  <c r="AF30" i="4"/>
  <c r="AF99" i="4"/>
  <c r="AF67" i="4"/>
  <c r="AF35" i="4"/>
  <c r="AF84" i="4"/>
  <c r="AF52" i="4"/>
  <c r="AF20" i="4"/>
  <c r="AF89" i="4"/>
  <c r="AF57" i="4"/>
  <c r="AF25" i="4"/>
  <c r="AF90" i="4"/>
  <c r="AF58" i="4"/>
  <c r="AF26" i="4"/>
  <c r="AF87" i="4"/>
  <c r="AF55" i="4"/>
  <c r="AF23" i="4"/>
  <c r="AF96" i="4"/>
  <c r="AF64" i="4"/>
  <c r="AF32" i="4"/>
  <c r="AF93" i="4"/>
  <c r="AF61" i="4"/>
  <c r="AF29" i="4"/>
  <c r="AF86" i="4"/>
  <c r="AF54" i="4"/>
  <c r="AF22" i="4"/>
  <c r="AF91" i="4"/>
  <c r="AF59" i="4"/>
  <c r="AF27" i="4"/>
  <c r="AF108" i="4"/>
  <c r="AF76" i="4"/>
  <c r="AF44" i="4"/>
  <c r="AF81" i="4"/>
  <c r="AF49" i="4"/>
  <c r="AF17" i="4"/>
  <c r="AF82" i="4"/>
  <c r="AF50" i="4"/>
  <c r="AF18" i="4"/>
  <c r="AF79" i="4"/>
  <c r="AF47" i="4"/>
  <c r="AF15" i="4"/>
  <c r="AF88" i="4"/>
  <c r="AF56" i="4"/>
  <c r="AF24" i="4"/>
  <c r="AF85" i="4"/>
  <c r="AF53" i="4"/>
  <c r="AF13" i="4"/>
  <c r="AF78" i="4"/>
  <c r="AF46" i="4"/>
  <c r="AF14" i="4"/>
  <c r="AF83" i="4"/>
  <c r="AF51" i="4"/>
  <c r="AF19" i="4"/>
  <c r="AF100" i="4"/>
  <c r="AF68" i="4"/>
  <c r="AF36" i="4"/>
  <c r="AF105" i="4"/>
  <c r="AF73" i="4"/>
  <c r="AF41" i="4"/>
  <c r="AF92" i="4"/>
  <c r="AF60" i="4"/>
  <c r="AF28" i="4"/>
  <c r="AF97" i="4"/>
  <c r="AF65" i="4"/>
  <c r="AD12" i="4"/>
  <c r="AF12" i="4" s="1"/>
  <c r="Z17" i="6"/>
  <c r="AA17" i="6"/>
  <c r="I29" i="4" s="1"/>
  <c r="AB17" i="6"/>
  <c r="I30" i="4" s="1"/>
  <c r="AC17" i="6"/>
  <c r="I13" i="6"/>
  <c r="J13" i="6"/>
  <c r="M13" i="6"/>
  <c r="I12" i="6"/>
  <c r="L13" i="6"/>
  <c r="K12" i="6"/>
  <c r="J12" i="6"/>
  <c r="Z12" i="4"/>
  <c r="Y12" i="4"/>
  <c r="M12" i="6"/>
  <c r="L12" i="6"/>
  <c r="K13" i="6"/>
  <c r="AI17" i="6" l="1"/>
  <c r="AH17" i="6"/>
  <c r="AG17" i="6"/>
  <c r="AJ17" i="6"/>
  <c r="I28" i="4"/>
  <c r="I39" i="4" l="1"/>
  <c r="AJ18" i="6"/>
  <c r="AH18" i="6"/>
  <c r="AG18" i="6"/>
  <c r="AI18" i="6"/>
</calcChain>
</file>

<file path=xl/sharedStrings.xml><?xml version="1.0" encoding="utf-8"?>
<sst xmlns="http://schemas.openxmlformats.org/spreadsheetml/2006/main" count="239" uniqueCount="183">
  <si>
    <t>Lux</t>
  </si>
  <si>
    <t>nm</t>
  </si>
  <si>
    <t>Power</t>
  </si>
  <si>
    <t>F</t>
  </si>
  <si>
    <t>c</t>
  </si>
  <si>
    <t>h</t>
  </si>
  <si>
    <t>k</t>
  </si>
  <si>
    <t>T</t>
  </si>
  <si>
    <r>
      <rPr>
        <b/>
        <sz val="11"/>
        <color indexed="8"/>
        <rFont val="Symbol"/>
        <family val="1"/>
        <charset val="2"/>
      </rPr>
      <t>l</t>
    </r>
    <r>
      <rPr>
        <b/>
        <sz val="11"/>
        <color indexed="8"/>
        <rFont val="Calibri"/>
        <family val="2"/>
      </rPr>
      <t xml:space="preserve"> (m)</t>
    </r>
  </si>
  <si>
    <r>
      <t>e</t>
    </r>
    <r>
      <rPr>
        <b/>
        <vertAlign val="superscript"/>
        <sz val="11"/>
        <color indexed="8"/>
        <rFont val="Calibri"/>
        <family val="2"/>
      </rPr>
      <t>(hc/</t>
    </r>
    <r>
      <rPr>
        <b/>
        <vertAlign val="superscript"/>
        <sz val="11"/>
        <color indexed="8"/>
        <rFont val="Symbol"/>
        <family val="1"/>
        <charset val="2"/>
      </rPr>
      <t>l</t>
    </r>
    <r>
      <rPr>
        <b/>
        <vertAlign val="superscript"/>
        <sz val="11"/>
        <color indexed="8"/>
        <rFont val="Calibri"/>
        <family val="2"/>
      </rPr>
      <t>kT)</t>
    </r>
  </si>
  <si>
    <r>
      <t>I'(</t>
    </r>
    <r>
      <rPr>
        <b/>
        <sz val="11"/>
        <color indexed="8"/>
        <rFont val="Symbol"/>
        <family val="1"/>
        <charset val="2"/>
      </rPr>
      <t>l</t>
    </r>
    <r>
      <rPr>
        <b/>
        <sz val="11"/>
        <color indexed="8"/>
        <rFont val="Calibri"/>
        <family val="2"/>
      </rPr>
      <t>,T)</t>
    </r>
  </si>
  <si>
    <t>A</t>
  </si>
  <si>
    <t>D</t>
  </si>
  <si>
    <t>B</t>
  </si>
  <si>
    <t>ACTIVE</t>
  </si>
  <si>
    <t>Rod</t>
  </si>
  <si>
    <t>M cone</t>
  </si>
  <si>
    <t>Melanopsin</t>
  </si>
  <si>
    <t>Pigment</t>
  </si>
  <si>
    <r>
      <rPr>
        <b/>
        <sz val="12"/>
        <rFont val="Symbol"/>
        <family val="1"/>
        <charset val="2"/>
      </rPr>
      <t>l</t>
    </r>
    <r>
      <rPr>
        <b/>
        <vertAlign val="subscript"/>
        <sz val="12"/>
        <rFont val="Calibri"/>
        <family val="2"/>
      </rPr>
      <t>max</t>
    </r>
  </si>
  <si>
    <t>3)</t>
  </si>
  <si>
    <t>2)</t>
  </si>
  <si>
    <t>1)</t>
  </si>
  <si>
    <t>4)</t>
  </si>
  <si>
    <t>E</t>
  </si>
  <si>
    <t>FWHM</t>
  </si>
  <si>
    <t>N</t>
  </si>
  <si>
    <t>Narrowband Light Source</t>
  </si>
  <si>
    <t>Title</t>
  </si>
  <si>
    <t>U</t>
  </si>
  <si>
    <t>VARIABLE SPDs</t>
  </si>
  <si>
    <r>
      <t>n</t>
    </r>
    <r>
      <rPr>
        <b/>
        <vertAlign val="subscript"/>
        <sz val="14"/>
        <rFont val="Calibri"/>
        <family val="2"/>
      </rPr>
      <t>a</t>
    </r>
  </si>
  <si>
    <r>
      <rPr>
        <b/>
        <sz val="12"/>
        <rFont val="Calibri"/>
        <family val="2"/>
      </rPr>
      <t>λ</t>
    </r>
    <r>
      <rPr>
        <b/>
        <vertAlign val="subscript"/>
        <sz val="14"/>
        <rFont val="Calibri"/>
        <family val="2"/>
      </rPr>
      <t>d</t>
    </r>
  </si>
  <si>
    <t>NIST CODATA 2010</t>
  </si>
  <si>
    <t>CIE 18.2, 1983</t>
  </si>
  <si>
    <r>
      <rPr>
        <b/>
        <i/>
        <sz val="12"/>
        <rFont val="Calibri"/>
        <family val="2"/>
      </rPr>
      <t>K</t>
    </r>
    <r>
      <rPr>
        <b/>
        <vertAlign val="subscript"/>
        <sz val="14"/>
        <rFont val="Calibri"/>
        <family val="2"/>
      </rPr>
      <t>m</t>
    </r>
  </si>
  <si>
    <r>
      <rPr>
        <b/>
        <i/>
        <sz val="12"/>
        <rFont val="Calibri"/>
        <family val="2"/>
      </rPr>
      <t>K'</t>
    </r>
    <r>
      <rPr>
        <b/>
        <vertAlign val="subscript"/>
        <sz val="14"/>
        <rFont val="Calibri"/>
        <family val="2"/>
      </rPr>
      <t>m</t>
    </r>
  </si>
  <si>
    <t>r</t>
  </si>
  <si>
    <t>L/P</t>
  </si>
  <si>
    <t>Units</t>
  </si>
  <si>
    <t>Quantity</t>
  </si>
  <si>
    <r>
      <t>L (=E</t>
    </r>
    <r>
      <rPr>
        <vertAlign val="subscript"/>
        <sz val="12"/>
        <rFont val="Calibri"/>
        <family val="2"/>
      </rPr>
      <t>V</t>
    </r>
    <r>
      <rPr>
        <sz val="12"/>
        <rFont val="Calibri"/>
        <family val="2"/>
      </rPr>
      <t>)</t>
    </r>
  </si>
  <si>
    <t>~P</t>
  </si>
  <si>
    <t>~L</t>
  </si>
  <si>
    <t>~Q</t>
  </si>
  <si>
    <t>P, unw'd</t>
  </si>
  <si>
    <t>Q, unw'd</t>
  </si>
  <si>
    <t>mc</t>
  </si>
  <si>
    <t>sc</t>
  </si>
  <si>
    <t>Source</t>
  </si>
  <si>
    <t>Max, nm</t>
  </si>
  <si>
    <t>Peak, nm</t>
  </si>
  <si>
    <t>Physical Photometry Constants</t>
  </si>
  <si>
    <t>Details of light measurement</t>
  </si>
  <si>
    <t>GAUSSIAN DISTRIBUTION</t>
  </si>
  <si>
    <t>RESULTS</t>
  </si>
  <si>
    <t>INPUTS</t>
  </si>
  <si>
    <t>RATIOS</t>
  </si>
  <si>
    <t xml:space="preserve"> P, L or Q </t>
  </si>
  <si>
    <t>constant</t>
  </si>
  <si>
    <t>value</t>
  </si>
  <si>
    <t>variable</t>
  </si>
  <si>
    <t xml:space="preserve"> nm</t>
  </si>
  <si>
    <t xml:space="preserve"> unit</t>
  </si>
  <si>
    <t xml:space="preserve"> m/s</t>
  </si>
  <si>
    <t xml:space="preserve"> Js</t>
  </si>
  <si>
    <t xml:space="preserve"> J/K</t>
  </si>
  <si>
    <t xml:space="preserve"> K</t>
  </si>
  <si>
    <t xml:space="preserve"> unit </t>
  </si>
  <si>
    <t xml:space="preserve"> lm/W</t>
  </si>
  <si>
    <t xml:space="preserve"> dimensionless</t>
  </si>
  <si>
    <r>
      <t xml:space="preserve">   K</t>
    </r>
    <r>
      <rPr>
        <vertAlign val="subscript"/>
        <sz val="12"/>
        <color indexed="55"/>
        <rFont val="Calibri"/>
        <family val="2"/>
      </rPr>
      <t>m</t>
    </r>
    <r>
      <rPr>
        <sz val="12"/>
        <color indexed="55"/>
        <rFont val="Calibri"/>
        <family val="2"/>
      </rPr>
      <t xml:space="preserve"> and K'</t>
    </r>
    <r>
      <rPr>
        <vertAlign val="subscript"/>
        <sz val="12"/>
        <color indexed="55"/>
        <rFont val="Calibri"/>
        <family val="2"/>
      </rPr>
      <t>m</t>
    </r>
    <r>
      <rPr>
        <sz val="12"/>
        <color indexed="55"/>
        <rFont val="Calibri"/>
        <family val="2"/>
      </rPr>
      <t xml:space="preserve"> denominators interpolated from </t>
    </r>
    <r>
      <rPr>
        <i/>
        <sz val="12"/>
        <color indexed="55"/>
        <rFont val="Calibri"/>
        <family val="2"/>
      </rPr>
      <t>V</t>
    </r>
    <r>
      <rPr>
        <sz val="12"/>
        <color indexed="55"/>
        <rFont val="Calibri"/>
        <family val="2"/>
      </rPr>
      <t xml:space="preserve">(555,556) and </t>
    </r>
    <r>
      <rPr>
        <i/>
        <sz val="12"/>
        <color indexed="55"/>
        <rFont val="Calibri"/>
        <family val="2"/>
      </rPr>
      <t>V'</t>
    </r>
    <r>
      <rPr>
        <sz val="12"/>
        <color indexed="55"/>
        <rFont val="Calibri"/>
        <family val="2"/>
      </rPr>
      <t>(</t>
    </r>
    <r>
      <rPr>
        <sz val="12"/>
        <color indexed="55"/>
        <rFont val="Calibri"/>
        <family val="2"/>
      </rPr>
      <t>555,556</t>
    </r>
    <r>
      <rPr>
        <sz val="12"/>
        <color indexed="55"/>
        <rFont val="Calibri"/>
        <family val="2"/>
      </rPr>
      <t>)</t>
    </r>
  </si>
  <si>
    <t xml:space="preserve">    lux</t>
  </si>
  <si>
    <r>
      <t xml:space="preserve">    photons/cm</t>
    </r>
    <r>
      <rPr>
        <vertAlign val="superscript"/>
        <sz val="12"/>
        <rFont val="Calibri"/>
        <family val="2"/>
      </rPr>
      <t>2</t>
    </r>
    <r>
      <rPr>
        <sz val="12"/>
        <rFont val="Calibri"/>
        <family val="2"/>
      </rPr>
      <t>/s</t>
    </r>
  </si>
  <si>
    <t>UNITS</t>
  </si>
  <si>
    <t>1E-15 / hc</t>
  </si>
  <si>
    <t>Q/P</t>
  </si>
  <si>
    <t xml:space="preserve"> L from P</t>
  </si>
  <si>
    <t xml:space="preserve"> Q from P</t>
  </si>
  <si>
    <r>
      <rPr>
        <sz val="10"/>
        <rFont val="Calibri"/>
        <family val="2"/>
      </rPr>
      <t xml:space="preserve">1E-2 </t>
    </r>
    <r>
      <rPr>
        <i/>
        <sz val="10"/>
        <rFont val="Calibri"/>
        <family val="2"/>
      </rPr>
      <t>K</t>
    </r>
    <r>
      <rPr>
        <vertAlign val="subscript"/>
        <sz val="10"/>
        <rFont val="Calibri"/>
        <family val="2"/>
      </rPr>
      <t>m</t>
    </r>
  </si>
  <si>
    <t>USER</t>
  </si>
  <si>
    <t>Chart input</t>
  </si>
  <si>
    <t>lux</t>
  </si>
  <si>
    <t>Sensitivity</t>
  </si>
  <si>
    <t>V(λ)</t>
  </si>
  <si>
    <t>Visibility</t>
  </si>
  <si>
    <t>5)</t>
  </si>
  <si>
    <t>n/a</t>
  </si>
  <si>
    <t>Subscript</t>
  </si>
  <si>
    <t>Curve</t>
  </si>
  <si>
    <t>6)</t>
  </si>
  <si>
    <t xml:space="preserve">Select mode </t>
  </si>
  <si>
    <r>
      <t>P</t>
    </r>
    <r>
      <rPr>
        <b/>
        <sz val="12"/>
        <rFont val="Calibri"/>
        <family val="2"/>
      </rPr>
      <t>hoton flux</t>
    </r>
  </si>
  <si>
    <r>
      <t>L</t>
    </r>
    <r>
      <rPr>
        <b/>
        <sz val="12"/>
        <rFont val="Calibri"/>
        <family val="2"/>
      </rPr>
      <t>og photon flux</t>
    </r>
  </si>
  <si>
    <t>Amount</t>
  </si>
  <si>
    <t>For blackbody or narrowband sources</t>
  </si>
  <si>
    <t>Peak spectral irradiance</t>
  </si>
  <si>
    <t xml:space="preserve">Pigment </t>
  </si>
  <si>
    <t>Spectral power distribution chart</t>
  </si>
  <si>
    <t>User defined measurement</t>
  </si>
  <si>
    <t>Spectral breakdowns</t>
  </si>
  <si>
    <t>L</t>
  </si>
  <si>
    <t xml:space="preserve"> A,B,D,E,F,L,N or U</t>
  </si>
  <si>
    <t>²</t>
  </si>
  <si>
    <r>
      <t>1/cm²</t>
    </r>
    <r>
      <rPr>
        <b/>
        <sz val="12"/>
        <rFont val="Calibri"/>
        <family val="2"/>
      </rPr>
      <t>/s</t>
    </r>
  </si>
  <si>
    <t>µW/cm²</t>
  </si>
  <si>
    <t>log₁₀ (1/cm²/s)</t>
  </si>
  <si>
    <r>
      <rPr>
        <b/>
        <sz val="12"/>
        <rFont val="Symbol"/>
        <family val="1"/>
        <charset val="2"/>
      </rPr>
      <t>l</t>
    </r>
    <r>
      <rPr>
        <b/>
        <vertAlign val="subscript"/>
        <sz val="14"/>
        <rFont val="Calibri"/>
        <family val="2"/>
      </rPr>
      <t>max</t>
    </r>
  </si>
  <si>
    <t>µ</t>
  </si>
  <si>
    <t>SPD, total in µW/cm²</t>
  </si>
  <si>
    <t>Quanta</t>
  </si>
  <si>
    <t>Input for user defined measurements</t>
  </si>
  <si>
    <t>Irradiance</t>
  </si>
  <si>
    <t xml:space="preserve">Blackbody temperature  </t>
  </si>
  <si>
    <t xml:space="preserve">Narrowband peak  </t>
  </si>
  <si>
    <t xml:space="preserve">Narrowband FWHM  </t>
  </si>
  <si>
    <t xml:space="preserve">Light source  </t>
  </si>
  <si>
    <t xml:space="preserve">Units  </t>
  </si>
  <si>
    <t xml:space="preserve">Amount  </t>
  </si>
  <si>
    <t>z</t>
  </si>
  <si>
    <r>
      <t>K</t>
    </r>
    <r>
      <rPr>
        <vertAlign val="subscript"/>
        <sz val="13"/>
        <rFont val="Calibri"/>
        <family val="2"/>
      </rPr>
      <t>N</t>
    </r>
    <r>
      <rPr>
        <sz val="11"/>
        <rFont val="Calibri"/>
        <family val="2"/>
      </rPr>
      <t>, K</t>
    </r>
    <r>
      <rPr>
        <vertAlign val="subscript"/>
        <sz val="13"/>
        <rFont val="Calibri"/>
        <family val="2"/>
      </rPr>
      <t>m</t>
    </r>
  </si>
  <si>
    <t>Photopic illuminance (human)</t>
  </si>
  <si>
    <t>Relative pre-receptoral</t>
  </si>
  <si>
    <t>spectral transmittance</t>
  </si>
  <si>
    <r>
      <t>rN</t>
    </r>
    <r>
      <rPr>
        <b/>
        <vertAlign val="subscript"/>
        <sz val="14"/>
        <color indexed="8"/>
        <rFont val="Calibri"/>
        <family val="2"/>
      </rPr>
      <t>sc</t>
    </r>
    <r>
      <rPr>
        <b/>
        <sz val="12"/>
        <color indexed="8"/>
        <rFont val="Calibri"/>
        <family val="2"/>
      </rPr>
      <t>(λ)</t>
    </r>
  </si>
  <si>
    <r>
      <t>rN</t>
    </r>
    <r>
      <rPr>
        <b/>
        <vertAlign val="subscript"/>
        <sz val="14"/>
        <color indexed="8"/>
        <rFont val="Calibri"/>
        <family val="2"/>
      </rPr>
      <t>z</t>
    </r>
    <r>
      <rPr>
        <b/>
        <sz val="12"/>
        <color indexed="8"/>
        <rFont val="Calibri"/>
        <family val="2"/>
      </rPr>
      <t>(λ)</t>
    </r>
  </si>
  <si>
    <r>
      <t>rN</t>
    </r>
    <r>
      <rPr>
        <b/>
        <vertAlign val="subscript"/>
        <sz val="14"/>
        <color indexed="8"/>
        <rFont val="Calibri"/>
        <family val="2"/>
      </rPr>
      <t>r</t>
    </r>
    <r>
      <rPr>
        <b/>
        <sz val="12"/>
        <color indexed="8"/>
        <rFont val="Calibri"/>
        <family val="2"/>
      </rPr>
      <t>(λ)</t>
    </r>
  </si>
  <si>
    <r>
      <t>rN</t>
    </r>
    <r>
      <rPr>
        <b/>
        <vertAlign val="subscript"/>
        <sz val="14"/>
        <color indexed="8"/>
        <rFont val="Calibri"/>
        <family val="2"/>
      </rPr>
      <t>mc</t>
    </r>
    <r>
      <rPr>
        <b/>
        <sz val="12"/>
        <color indexed="8"/>
        <rFont val="Calibri"/>
        <family val="2"/>
      </rPr>
      <t>(λ)</t>
    </r>
  </si>
  <si>
    <t>α-opic rlux</t>
  </si>
  <si>
    <t>Rodent retinal photopigment complement (all weighted)</t>
  </si>
  <si>
    <t>Unweighted summations from 300 to 780 nm inclusive</t>
  </si>
  <si>
    <r>
      <t>α: rN</t>
    </r>
    <r>
      <rPr>
        <b/>
        <vertAlign val="subscript"/>
        <sz val="14"/>
        <color indexed="8"/>
        <rFont val="Calibri"/>
        <family val="2"/>
      </rPr>
      <t>α</t>
    </r>
    <r>
      <rPr>
        <b/>
        <sz val="12"/>
        <color indexed="8"/>
        <rFont val="Calibri"/>
        <family val="2"/>
      </rPr>
      <t>(</t>
    </r>
    <r>
      <rPr>
        <b/>
        <sz val="12"/>
        <color indexed="8"/>
        <rFont val="Calibri"/>
        <family val="2"/>
      </rPr>
      <t>λ</t>
    </r>
    <r>
      <rPr>
        <b/>
        <sz val="12"/>
        <color indexed="8"/>
        <rFont val="Calibri"/>
        <family val="2"/>
      </rPr>
      <t>)</t>
    </r>
  </si>
  <si>
    <t>S cone</t>
  </si>
  <si>
    <t>(Jacobs &amp; Williams,  2007)</t>
  </si>
  <si>
    <t>Relative spectral</t>
  </si>
  <si>
    <t>power distribution</t>
  </si>
  <si>
    <t xml:space="preserve">   given as 0.999998, but here is accurately calculated as 0.99999773</t>
  </si>
  <si>
    <t xml:space="preserve">   given as 0.401750, here 0.401753 similarly - for reference as not used here</t>
  </si>
  <si>
    <t>Photopic</t>
  </si>
  <si>
    <t>RELATIVE SPECTRAL POWER DISTRIBUTIONS [INCOMPLETE BELOW 390nm]</t>
  </si>
  <si>
    <t>Summary of inputs</t>
  </si>
  <si>
    <t>Results of action spectra calculations</t>
  </si>
  <si>
    <t>Weighted</t>
  </si>
  <si>
    <t>Unweighted</t>
  </si>
  <si>
    <t>Spectra and fundamental constants</t>
  </si>
  <si>
    <t>spline with extrapolation</t>
  </si>
  <si>
    <r>
      <t>Source power (</t>
    </r>
    <r>
      <rPr>
        <sz val="11"/>
        <rFont val="Calibri"/>
        <family val="2"/>
      </rPr>
      <t>μ</t>
    </r>
    <r>
      <rPr>
        <sz val="11"/>
        <rFont val="Calibri"/>
        <family val="2"/>
        <scheme val="minor"/>
      </rPr>
      <t>W/cm</t>
    </r>
    <r>
      <rPr>
        <vertAlign val="superscript"/>
        <sz val="11"/>
        <rFont val="Calibri"/>
        <family val="2"/>
        <scheme val="minor"/>
      </rPr>
      <t>2</t>
    </r>
    <r>
      <rPr>
        <sz val="11"/>
        <rFont val="Calibri"/>
        <family val="2"/>
        <scheme val="minor"/>
      </rPr>
      <t>)</t>
    </r>
  </si>
  <si>
    <t>Blackbody Radiation</t>
  </si>
  <si>
    <t>Mode</t>
  </si>
  <si>
    <r>
      <t xml:space="preserve">    </t>
    </r>
    <r>
      <rPr>
        <i/>
        <sz val="12"/>
        <rFont val="Symbol"/>
        <family val="1"/>
        <charset val="2"/>
      </rPr>
      <t>m</t>
    </r>
    <r>
      <rPr>
        <sz val="12"/>
        <rFont val="Calibri"/>
        <family val="2"/>
      </rPr>
      <t>W/cm</t>
    </r>
    <r>
      <rPr>
        <vertAlign val="superscript"/>
        <sz val="12"/>
        <rFont val="Calibri"/>
        <family val="2"/>
      </rPr>
      <t>2</t>
    </r>
  </si>
  <si>
    <r>
      <rPr>
        <b/>
        <sz val="11"/>
        <color indexed="8"/>
        <rFont val="Symbol"/>
        <family val="1"/>
        <charset val="2"/>
      </rPr>
      <t>l</t>
    </r>
    <r>
      <rPr>
        <b/>
        <sz val="11"/>
        <color indexed="8"/>
        <rFont val="Calibri"/>
        <family val="2"/>
      </rPr>
      <t xml:space="preserve"> (nm)</t>
    </r>
  </si>
  <si>
    <r>
      <rPr>
        <b/>
        <sz val="11"/>
        <rFont val="Calibri"/>
        <family val="2"/>
        <scheme val="minor"/>
      </rPr>
      <t xml:space="preserve">Pigment </t>
    </r>
    <r>
      <rPr>
        <b/>
        <sz val="11"/>
        <rFont val="Symbol"/>
        <family val="1"/>
        <charset val="2"/>
      </rPr>
      <t>l</t>
    </r>
    <r>
      <rPr>
        <b/>
        <vertAlign val="subscript"/>
        <sz val="11"/>
        <rFont val="Calibri"/>
        <family val="2"/>
      </rPr>
      <t>max</t>
    </r>
    <r>
      <rPr>
        <b/>
        <sz val="11"/>
        <rFont val="Calibri"/>
        <family val="2"/>
      </rPr>
      <t xml:space="preserve"> (nm)</t>
    </r>
  </si>
  <si>
    <t>Human</t>
  </si>
  <si>
    <r>
      <t>rT(</t>
    </r>
    <r>
      <rPr>
        <sz val="11"/>
        <rFont val="Calibri"/>
        <family val="2"/>
      </rPr>
      <t>λ)/rT(λ)</t>
    </r>
    <r>
      <rPr>
        <vertAlign val="subscript"/>
        <sz val="11"/>
        <rFont val="Calibri"/>
        <family val="2"/>
      </rPr>
      <t>max</t>
    </r>
  </si>
  <si>
    <r>
      <t>rT(</t>
    </r>
    <r>
      <rPr>
        <b/>
        <sz val="11"/>
        <rFont val="Calibri"/>
        <family val="2"/>
      </rPr>
      <t>λ)/rT(λ)</t>
    </r>
    <r>
      <rPr>
        <b/>
        <vertAlign val="subscript"/>
        <sz val="11"/>
        <rFont val="Calibri"/>
        <family val="2"/>
      </rPr>
      <t>max</t>
    </r>
  </si>
  <si>
    <r>
      <t>rN</t>
    </r>
    <r>
      <rPr>
        <vertAlign val="subscript"/>
        <sz val="13"/>
        <color indexed="8"/>
        <rFont val="Calibri"/>
        <family val="2"/>
      </rPr>
      <t>sc</t>
    </r>
    <r>
      <rPr>
        <sz val="11"/>
        <color indexed="8"/>
        <rFont val="Calibri"/>
        <family val="2"/>
      </rPr>
      <t>(λ)</t>
    </r>
  </si>
  <si>
    <r>
      <t>rN</t>
    </r>
    <r>
      <rPr>
        <vertAlign val="subscript"/>
        <sz val="13"/>
        <color indexed="8"/>
        <rFont val="Calibri"/>
        <family val="2"/>
      </rPr>
      <t>z</t>
    </r>
    <r>
      <rPr>
        <sz val="11"/>
        <color indexed="8"/>
        <rFont val="Calibri"/>
        <family val="2"/>
      </rPr>
      <t>(λ)</t>
    </r>
  </si>
  <si>
    <r>
      <t>rN</t>
    </r>
    <r>
      <rPr>
        <vertAlign val="subscript"/>
        <sz val="13"/>
        <color indexed="8"/>
        <rFont val="Calibri"/>
        <family val="2"/>
      </rPr>
      <t>r</t>
    </r>
    <r>
      <rPr>
        <sz val="11"/>
        <color indexed="8"/>
        <rFont val="Calibri"/>
        <family val="2"/>
      </rPr>
      <t>(λ)</t>
    </r>
  </si>
  <si>
    <r>
      <t>rN</t>
    </r>
    <r>
      <rPr>
        <vertAlign val="subscript"/>
        <sz val="13"/>
        <color indexed="8"/>
        <rFont val="Calibri"/>
        <family val="2"/>
      </rPr>
      <t>mc</t>
    </r>
    <r>
      <rPr>
        <sz val="11"/>
        <color indexed="8"/>
        <rFont val="Calibri"/>
        <family val="2"/>
      </rPr>
      <t>(λ)</t>
    </r>
  </si>
  <si>
    <t>Equivalent lux values and SI units</t>
  </si>
  <si>
    <r>
      <rPr>
        <sz val="11"/>
        <rFont val="Symbol"/>
        <family val="1"/>
        <charset val="2"/>
      </rPr>
      <t>l</t>
    </r>
    <r>
      <rPr>
        <vertAlign val="subscript"/>
        <sz val="11"/>
        <rFont val="Calibri"/>
        <family val="2"/>
      </rPr>
      <t>max</t>
    </r>
    <r>
      <rPr>
        <sz val="11"/>
        <rFont val="Calibri"/>
        <family val="2"/>
      </rPr>
      <t xml:space="preserve"> </t>
    </r>
  </si>
  <si>
    <r>
      <rPr>
        <b/>
        <sz val="11"/>
        <rFont val="Calibri"/>
        <family val="2"/>
        <scheme val="minor"/>
      </rPr>
      <t xml:space="preserve">Adjusted peak sensitivity in vivo  </t>
    </r>
    <r>
      <rPr>
        <b/>
        <sz val="11"/>
        <rFont val="Symbol"/>
        <family val="1"/>
        <charset val="2"/>
      </rPr>
      <t>l</t>
    </r>
    <r>
      <rPr>
        <b/>
        <vertAlign val="subscript"/>
        <sz val="11"/>
        <rFont val="Calibri"/>
        <family val="2"/>
      </rPr>
      <t>max</t>
    </r>
    <r>
      <rPr>
        <b/>
        <sz val="11"/>
        <rFont val="Calibri"/>
        <family val="2"/>
      </rPr>
      <t xml:space="preserve"> (nm), shown to nearest 5 nm</t>
    </r>
  </si>
  <si>
    <r>
      <t>rN</t>
    </r>
    <r>
      <rPr>
        <vertAlign val="subscript"/>
        <sz val="11"/>
        <rFont val="Symbol"/>
        <family val="1"/>
        <charset val="2"/>
      </rPr>
      <t>a</t>
    </r>
    <r>
      <rPr>
        <sz val="11"/>
        <rFont val="Calibri"/>
        <family val="2"/>
        <scheme val="minor"/>
      </rPr>
      <t>(</t>
    </r>
    <r>
      <rPr>
        <sz val="11"/>
        <rFont val="Symbol"/>
        <family val="1"/>
        <charset val="2"/>
      </rPr>
      <t>l</t>
    </r>
    <r>
      <rPr>
        <vertAlign val="subscript"/>
        <sz val="11"/>
        <rFont val="Calibri"/>
        <family val="2"/>
        <scheme val="minor"/>
      </rPr>
      <t>max</t>
    </r>
    <r>
      <rPr>
        <sz val="11"/>
        <rFont val="Calibri"/>
        <family val="2"/>
        <scheme val="minor"/>
      </rPr>
      <t>)</t>
    </r>
  </si>
  <si>
    <r>
      <rPr>
        <b/>
        <sz val="11"/>
        <rFont val="Symbol"/>
        <family val="1"/>
        <charset val="2"/>
      </rPr>
      <t>f</t>
    </r>
    <r>
      <rPr>
        <b/>
        <sz val="11"/>
        <rFont val="Calibri"/>
        <family val="2"/>
        <scheme val="minor"/>
      </rPr>
      <t>(λ)</t>
    </r>
  </si>
  <si>
    <r>
      <t xml:space="preserve">rspd, </t>
    </r>
    <r>
      <rPr>
        <sz val="11"/>
        <rFont val="Symbol"/>
        <family val="1"/>
        <charset val="2"/>
      </rPr>
      <t>f</t>
    </r>
    <r>
      <rPr>
        <sz val="11"/>
        <rFont val="Calibri"/>
        <family val="2"/>
        <scheme val="minor"/>
      </rPr>
      <t>(λ)</t>
    </r>
  </si>
  <si>
    <r>
      <rPr>
        <sz val="11"/>
        <rFont val="Symbol"/>
        <family val="1"/>
        <charset val="2"/>
      </rPr>
      <t>a</t>
    </r>
    <r>
      <rPr>
        <sz val="11"/>
        <rFont val="Calibri"/>
        <family val="2"/>
      </rPr>
      <t xml:space="preserve">-opic </t>
    </r>
    <r>
      <rPr>
        <sz val="11"/>
        <color theme="0"/>
        <rFont val="Calibri"/>
        <family val="2"/>
      </rPr>
      <t>equivalent lux</t>
    </r>
  </si>
  <si>
    <r>
      <t>μW/cm</t>
    </r>
    <r>
      <rPr>
        <vertAlign val="superscript"/>
        <sz val="11"/>
        <rFont val="Calibri"/>
        <family val="2"/>
        <scheme val="minor"/>
      </rPr>
      <t>2</t>
    </r>
    <r>
      <rPr>
        <sz val="11"/>
        <color theme="0"/>
        <rFont val="Calibri"/>
        <family val="2"/>
        <scheme val="minor"/>
      </rPr>
      <t xml:space="preserve"> weighted SI units</t>
    </r>
  </si>
  <si>
    <t>Active</t>
  </si>
  <si>
    <t>Weighting</t>
  </si>
  <si>
    <t>a-opic lux</t>
  </si>
  <si>
    <t>QUANTA</t>
  </si>
  <si>
    <t>M/P Ratio of light source</t>
  </si>
  <si>
    <t>Melanopic EDI</t>
  </si>
  <si>
    <t>Log quanta</t>
  </si>
  <si>
    <t>Photons/cm2/s</t>
  </si>
  <si>
    <t>M/P</t>
  </si>
  <si>
    <t>approximate mode</t>
  </si>
  <si>
    <t>Calculations</t>
  </si>
  <si>
    <r>
      <rPr>
        <b/>
        <sz val="11"/>
        <color rgb="FFFF0000"/>
        <rFont val="Symbol"/>
        <family val="1"/>
        <charset val="2"/>
      </rPr>
      <t>a</t>
    </r>
    <r>
      <rPr>
        <b/>
        <sz val="11"/>
        <color rgb="FFFF0000"/>
        <rFont val="Calibri"/>
        <family val="2"/>
        <scheme val="minor"/>
      </rPr>
      <t>-OPIC LUX</t>
    </r>
  </si>
  <si>
    <r>
      <rPr>
        <b/>
        <sz val="11"/>
        <color rgb="FFFF0000"/>
        <rFont val="Symbol"/>
        <family val="1"/>
        <charset val="2"/>
      </rPr>
      <t>a</t>
    </r>
    <r>
      <rPr>
        <b/>
        <sz val="11"/>
        <color rgb="FFFF0000"/>
        <rFont val="Calibri"/>
        <family val="2"/>
        <scheme val="minor"/>
      </rPr>
      <t>-OPIC IRRADIANCE</t>
    </r>
  </si>
  <si>
    <r>
      <rPr>
        <b/>
        <sz val="11"/>
        <color rgb="FFFF0000"/>
        <rFont val="Symbol"/>
        <family val="1"/>
        <charset val="2"/>
      </rPr>
      <t>a</t>
    </r>
    <r>
      <rPr>
        <b/>
        <sz val="11"/>
        <color rgb="FFFF0000"/>
        <rFont val="Calibri"/>
        <family val="2"/>
        <scheme val="minor"/>
      </rPr>
      <t>-OPIC SENSITIVITY FUNCTIONS</t>
    </r>
  </si>
  <si>
    <t>Conversion</t>
  </si>
  <si>
    <t>Rodent Toolbox 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</si>
</sst>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E+00"/>
    <numFmt numFmtId="166" formatCode="0.000"/>
    <numFmt numFmtId="167" formatCode="0.000000"/>
    <numFmt numFmtId="168" formatCode="0.00000000"/>
    <numFmt numFmtId="169" formatCode="0.0%"/>
    <numFmt numFmtId="170" formatCode="0.000\ 000"/>
    <numFmt numFmtId="171" formatCode="#\ ##0.000"/>
  </numFmts>
  <fonts count="72">
    <font>
      <sz val="11"/>
      <color theme="1"/>
      <name val="Calibri"/>
      <family val="2"/>
      <scheme val="minor"/>
    </font>
    <font>
      <b/>
      <sz val="11"/>
      <color indexed="8"/>
      <name val="Calibri"/>
      <family val="2"/>
    </font>
    <font>
      <b/>
      <sz val="11"/>
      <color indexed="8"/>
      <name val="Symbol"/>
      <family val="1"/>
      <charset val="2"/>
    </font>
    <font>
      <b/>
      <vertAlign val="superscript"/>
      <sz val="11"/>
      <color indexed="8"/>
      <name val="Calibri"/>
      <family val="2"/>
    </font>
    <font>
      <b/>
      <vertAlign val="superscript"/>
      <sz val="11"/>
      <color indexed="8"/>
      <name val="Symbol"/>
      <family val="1"/>
      <charset val="2"/>
    </font>
    <font>
      <b/>
      <sz val="12"/>
      <name val="Calibri"/>
      <family val="2"/>
    </font>
    <font>
      <sz val="12"/>
      <name val="Calibri"/>
      <family val="2"/>
    </font>
    <font>
      <b/>
      <sz val="12"/>
      <name val="Symbol"/>
      <family val="1"/>
      <charset val="2"/>
    </font>
    <font>
      <b/>
      <vertAlign val="subscript"/>
      <sz val="12"/>
      <name val="Calibri"/>
      <family val="2"/>
    </font>
    <font>
      <vertAlign val="subscript"/>
      <sz val="12"/>
      <name val="Calibri"/>
      <family val="2"/>
    </font>
    <font>
      <b/>
      <sz val="12"/>
      <name val="Calibri"/>
      <family val="2"/>
    </font>
    <font>
      <b/>
      <vertAlign val="subscript"/>
      <sz val="14"/>
      <name val="Calibri"/>
      <family val="2"/>
    </font>
    <font>
      <b/>
      <i/>
      <sz val="12"/>
      <name val="Calibri"/>
      <family val="2"/>
    </font>
    <font>
      <sz val="12"/>
      <color indexed="55"/>
      <name val="Calibri"/>
      <family val="2"/>
    </font>
    <font>
      <vertAlign val="subscript"/>
      <sz val="12"/>
      <color indexed="55"/>
      <name val="Calibri"/>
      <family val="2"/>
    </font>
    <font>
      <i/>
      <sz val="12"/>
      <color indexed="55"/>
      <name val="Calibri"/>
      <family val="2"/>
    </font>
    <font>
      <vertAlign val="superscript"/>
      <sz val="12"/>
      <name val="Calibri"/>
      <family val="2"/>
    </font>
    <font>
      <sz val="10"/>
      <name val="Calibri"/>
      <family val="2"/>
    </font>
    <font>
      <i/>
      <sz val="10"/>
      <name val="Calibri"/>
      <family val="2"/>
    </font>
    <font>
      <vertAlign val="subscript"/>
      <sz val="10"/>
      <name val="Calibri"/>
      <family val="2"/>
    </font>
    <font>
      <b/>
      <sz val="12"/>
      <color indexed="8"/>
      <name val="Calibri"/>
      <family val="2"/>
    </font>
    <font>
      <sz val="11"/>
      <color indexed="8"/>
      <name val="Calibri"/>
      <family val="2"/>
    </font>
    <font>
      <b/>
      <sz val="11"/>
      <color indexed="8"/>
      <name val="Calibri"/>
      <family val="2"/>
    </font>
    <font>
      <b/>
      <sz val="14"/>
      <color indexed="8"/>
      <name val="Calibri"/>
      <family val="2"/>
    </font>
    <font>
      <b/>
      <i/>
      <sz val="11"/>
      <color indexed="8"/>
      <name val="Calibri"/>
      <family val="2"/>
    </font>
    <font>
      <b/>
      <sz val="12"/>
      <name val="Calibri"/>
      <family val="2"/>
    </font>
    <font>
      <sz val="12"/>
      <name val="Calibri"/>
      <family val="2"/>
    </font>
    <font>
      <b/>
      <i/>
      <sz val="12"/>
      <name val="Calibri"/>
      <family val="2"/>
    </font>
    <font>
      <b/>
      <sz val="12"/>
      <color indexed="10"/>
      <name val="Calibri"/>
      <family val="2"/>
    </font>
    <font>
      <sz val="12"/>
      <color indexed="8"/>
      <name val="Calibri"/>
      <family val="2"/>
    </font>
    <font>
      <b/>
      <sz val="12"/>
      <color indexed="8"/>
      <name val="Calibri"/>
      <family val="2"/>
    </font>
    <font>
      <b/>
      <sz val="12"/>
      <color indexed="10"/>
      <name val="Calibri"/>
      <family val="2"/>
    </font>
    <font>
      <b/>
      <sz val="12"/>
      <color indexed="12"/>
      <name val="Calibri"/>
      <family val="2"/>
    </font>
    <font>
      <b/>
      <sz val="12"/>
      <color indexed="11"/>
      <name val="Calibri"/>
      <family val="2"/>
    </font>
    <font>
      <sz val="12"/>
      <color indexed="10"/>
      <name val="Calibri"/>
      <family val="2"/>
    </font>
    <font>
      <sz val="26"/>
      <color indexed="10"/>
      <name val="Calibri"/>
      <family val="2"/>
    </font>
    <font>
      <b/>
      <sz val="11"/>
      <color indexed="10"/>
      <name val="Calibri"/>
      <family val="2"/>
    </font>
    <font>
      <b/>
      <sz val="11"/>
      <color indexed="8"/>
      <name val="Calibri"/>
      <family val="2"/>
    </font>
    <font>
      <sz val="12"/>
      <color indexed="55"/>
      <name val="Calibri"/>
      <family val="2"/>
    </font>
    <font>
      <sz val="10"/>
      <name val="Calibri"/>
      <family val="2"/>
    </font>
    <font>
      <sz val="11"/>
      <name val="Calibri"/>
      <family val="2"/>
    </font>
    <font>
      <sz val="12"/>
      <color indexed="12"/>
      <name val="Calibri"/>
      <family val="2"/>
    </font>
    <font>
      <b/>
      <sz val="12"/>
      <color indexed="23"/>
      <name val="Calibri"/>
      <family val="2"/>
    </font>
    <font>
      <b/>
      <sz val="10"/>
      <name val="Calibri"/>
      <family val="2"/>
    </font>
    <font>
      <b/>
      <sz val="12"/>
      <color indexed="8"/>
      <name val="Calibri"/>
      <family val="2"/>
    </font>
    <font>
      <sz val="12"/>
      <color indexed="8"/>
      <name val="Calibri"/>
      <family val="2"/>
    </font>
    <font>
      <b/>
      <sz val="11"/>
      <name val="Calibri"/>
      <family val="2"/>
    </font>
    <font>
      <b/>
      <vertAlign val="subscript"/>
      <sz val="14"/>
      <color indexed="8"/>
      <name val="Calibri"/>
      <family val="2"/>
    </font>
    <font>
      <vertAlign val="subscript"/>
      <sz val="13"/>
      <name val="Calibri"/>
      <family val="2"/>
    </font>
    <font>
      <sz val="11"/>
      <name val="Calibri"/>
      <family val="2"/>
      <scheme val="minor"/>
    </font>
    <font>
      <b/>
      <sz val="11"/>
      <name val="Calibri"/>
      <family val="2"/>
      <scheme val="minor"/>
    </font>
    <font>
      <sz val="11"/>
      <color theme="0"/>
      <name val="Calibri"/>
      <family val="2"/>
    </font>
    <font>
      <sz val="12"/>
      <color theme="0"/>
      <name val="Calibri"/>
      <family val="2"/>
    </font>
    <font>
      <b/>
      <sz val="12"/>
      <color rgb="FF9900CC"/>
      <name val="Calibri"/>
      <family val="2"/>
    </font>
    <font>
      <sz val="12"/>
      <color rgb="FFFF0000"/>
      <name val="Calibri"/>
      <family val="2"/>
    </font>
    <font>
      <b/>
      <sz val="11"/>
      <name val="Symbol"/>
      <family val="1"/>
      <charset val="2"/>
    </font>
    <font>
      <b/>
      <vertAlign val="subscript"/>
      <sz val="11"/>
      <name val="Calibri"/>
      <family val="2"/>
    </font>
    <font>
      <i/>
      <sz val="11"/>
      <color theme="1"/>
      <name val="Calibri"/>
      <family val="2"/>
      <scheme val="minor"/>
    </font>
    <font>
      <vertAlign val="superscript"/>
      <sz val="11"/>
      <name val="Calibri"/>
      <family val="2"/>
      <scheme val="minor"/>
    </font>
    <font>
      <i/>
      <sz val="12"/>
      <name val="Symbol"/>
      <family val="1"/>
      <charset val="2"/>
    </font>
    <font>
      <vertAlign val="subscript"/>
      <sz val="11"/>
      <name val="Calibri"/>
      <family val="2"/>
    </font>
    <font>
      <sz val="11"/>
      <name val="Symbol"/>
      <family val="1"/>
      <charset val="2"/>
    </font>
    <font>
      <vertAlign val="subscript"/>
      <sz val="11"/>
      <name val="Calibri"/>
      <family val="2"/>
      <scheme val="minor"/>
    </font>
    <font>
      <sz val="11"/>
      <color theme="0"/>
      <name val="Calibri"/>
      <family val="2"/>
      <scheme val="minor"/>
    </font>
    <font>
      <vertAlign val="subscript"/>
      <sz val="13"/>
      <color indexed="8"/>
      <name val="Calibri"/>
      <family val="2"/>
    </font>
    <font>
      <vertAlign val="subscript"/>
      <sz val="11"/>
      <name val="Symbol"/>
      <family val="1"/>
      <charset val="2"/>
    </font>
    <font>
      <sz val="11"/>
      <color rgb="FFFF0000"/>
      <name val="Calibri"/>
      <family val="2"/>
      <scheme val="minor"/>
    </font>
    <font>
      <b/>
      <sz val="11"/>
      <color theme="1"/>
      <name val="Calibri"/>
      <family val="2"/>
      <scheme val="minor"/>
    </font>
    <font>
      <sz val="11"/>
      <color rgb="FFFF0000"/>
      <name val="Calibri"/>
      <family val="2"/>
    </font>
    <font>
      <b/>
      <sz val="11"/>
      <color rgb="FFFF0000"/>
      <name val="Calibri"/>
      <family val="2"/>
      <scheme val="minor"/>
    </font>
    <font>
      <b/>
      <sz val="11"/>
      <color rgb="FFFF0000"/>
      <name val="Symbol"/>
      <family val="1"/>
      <charset val="2"/>
    </font>
    <font>
      <b/>
      <sz val="11"/>
      <color rgb="FFFF0000"/>
      <name val="Calibri"/>
      <family val="1"/>
      <charset val="2"/>
      <scheme val="minor"/>
    </font>
  </fonts>
  <fills count="10">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4" tint="0.39997558519241921"/>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theme="0"/>
      </left>
      <right style="medium">
        <color theme="0"/>
      </right>
      <top/>
      <bottom style="medium">
        <color theme="0"/>
      </bottom>
      <diagonal/>
    </border>
  </borders>
  <cellStyleXfs count="2">
    <xf numFmtId="0" fontId="0" fillId="0" borderId="0"/>
    <xf numFmtId="9" fontId="21" fillId="0" borderId="0" applyFont="0" applyFill="0" applyBorder="0" applyAlignment="0" applyProtection="0"/>
  </cellStyleXfs>
  <cellXfs count="222">
    <xf numFmtId="0" fontId="0" fillId="0" borderId="0" xfId="0"/>
    <xf numFmtId="0" fontId="0" fillId="2" borderId="0" xfId="0" applyFill="1" applyAlignment="1" applyProtection="1">
      <alignment horizontal="left"/>
      <protection hidden="1"/>
    </xf>
    <xf numFmtId="0" fontId="0" fillId="2" borderId="0" xfId="0" applyFill="1" applyProtection="1">
      <protection hidden="1"/>
    </xf>
    <xf numFmtId="0" fontId="0" fillId="2" borderId="0" xfId="0" applyFill="1" applyAlignment="1" applyProtection="1">
      <alignment horizontal="center"/>
      <protection hidden="1"/>
    </xf>
    <xf numFmtId="0" fontId="0" fillId="2" borderId="0" xfId="0" quotePrefix="1" applyFill="1" applyProtection="1">
      <protection hidden="1"/>
    </xf>
    <xf numFmtId="0" fontId="35" fillId="2" borderId="0" xfId="0" applyFont="1" applyFill="1" applyAlignment="1" applyProtection="1">
      <alignment horizontal="center"/>
      <protection hidden="1"/>
    </xf>
    <xf numFmtId="0" fontId="22" fillId="2" borderId="0" xfId="0" applyFont="1" applyFill="1" applyAlignment="1" applyProtection="1">
      <alignment horizontal="left"/>
      <protection hidden="1"/>
    </xf>
    <xf numFmtId="0" fontId="31" fillId="2" borderId="0" xfId="0" applyFont="1" applyFill="1" applyProtection="1">
      <protection hidden="1"/>
    </xf>
    <xf numFmtId="0" fontId="22" fillId="2" borderId="0" xfId="0" applyFont="1" applyFill="1" applyProtection="1">
      <protection hidden="1"/>
    </xf>
    <xf numFmtId="2" fontId="26" fillId="2" borderId="0" xfId="0" applyNumberFormat="1" applyFont="1" applyFill="1" applyProtection="1">
      <protection hidden="1"/>
    </xf>
    <xf numFmtId="0" fontId="36" fillId="2" borderId="0" xfId="0" applyFont="1" applyFill="1" applyAlignment="1" applyProtection="1">
      <alignment horizontal="left"/>
      <protection hidden="1"/>
    </xf>
    <xf numFmtId="0" fontId="30" fillId="2" borderId="0" xfId="0" applyFont="1" applyFill="1" applyProtection="1">
      <protection hidden="1"/>
    </xf>
    <xf numFmtId="0" fontId="26" fillId="2" borderId="0" xfId="0" applyFont="1" applyFill="1" applyProtection="1">
      <protection hidden="1"/>
    </xf>
    <xf numFmtId="11" fontId="25" fillId="2" borderId="0" xfId="0" applyNumberFormat="1" applyFont="1" applyFill="1" applyAlignment="1" applyProtection="1">
      <alignment horizontal="center"/>
      <protection hidden="1"/>
    </xf>
    <xf numFmtId="0" fontId="25" fillId="2" borderId="0" xfId="0" applyFont="1" applyFill="1" applyAlignment="1" applyProtection="1">
      <alignment horizontal="right"/>
      <protection hidden="1"/>
    </xf>
    <xf numFmtId="0" fontId="22" fillId="2" borderId="0" xfId="0" applyFont="1" applyFill="1" applyAlignment="1" applyProtection="1">
      <alignment horizontal="center"/>
      <protection hidden="1"/>
    </xf>
    <xf numFmtId="0" fontId="5" fillId="2" borderId="0" xfId="0" applyFont="1" applyFill="1" applyAlignment="1" applyProtection="1">
      <alignment horizontal="left"/>
      <protection hidden="1"/>
    </xf>
    <xf numFmtId="2" fontId="25" fillId="2" borderId="0" xfId="0" applyNumberFormat="1" applyFont="1" applyFill="1" applyAlignment="1" applyProtection="1">
      <alignment horizontal="center"/>
      <protection hidden="1"/>
    </xf>
    <xf numFmtId="11" fontId="0" fillId="2" borderId="0" xfId="0" applyNumberFormat="1" applyFill="1" applyAlignment="1" applyProtection="1">
      <alignment horizontal="center"/>
      <protection hidden="1"/>
    </xf>
    <xf numFmtId="0" fontId="25" fillId="2" borderId="0" xfId="0" applyFont="1" applyFill="1" applyAlignment="1" applyProtection="1">
      <alignment horizontal="left"/>
      <protection hidden="1"/>
    </xf>
    <xf numFmtId="0" fontId="26" fillId="2" borderId="0" xfId="0" applyFont="1" applyFill="1" applyAlignment="1" applyProtection="1">
      <alignment horizontal="center"/>
      <protection hidden="1"/>
    </xf>
    <xf numFmtId="0" fontId="31" fillId="2" borderId="0" xfId="0" applyFont="1" applyFill="1" applyAlignment="1" applyProtection="1">
      <alignment horizontal="left"/>
      <protection hidden="1"/>
    </xf>
    <xf numFmtId="0" fontId="25" fillId="2" borderId="0" xfId="0" applyFont="1" applyFill="1" applyAlignment="1" applyProtection="1">
      <alignment horizontal="center"/>
      <protection hidden="1"/>
    </xf>
    <xf numFmtId="11" fontId="26" fillId="2" borderId="0" xfId="0" applyNumberFormat="1" applyFont="1" applyFill="1" applyProtection="1">
      <protection hidden="1"/>
    </xf>
    <xf numFmtId="2" fontId="31" fillId="2" borderId="0" xfId="0" applyNumberFormat="1" applyFont="1" applyFill="1" applyAlignment="1" applyProtection="1">
      <alignment horizontal="center"/>
      <protection hidden="1"/>
    </xf>
    <xf numFmtId="0" fontId="25" fillId="2" borderId="0" xfId="0" applyFont="1" applyFill="1" applyProtection="1">
      <protection hidden="1"/>
    </xf>
    <xf numFmtId="0" fontId="30" fillId="3" borderId="1" xfId="0" applyFont="1" applyFill="1" applyBorder="1" applyAlignment="1" applyProtection="1">
      <alignment horizontal="center"/>
      <protection hidden="1"/>
    </xf>
    <xf numFmtId="0" fontId="30" fillId="2" borderId="0" xfId="0" applyFont="1" applyFill="1" applyAlignment="1" applyProtection="1">
      <alignment horizontal="center"/>
      <protection hidden="1"/>
    </xf>
    <xf numFmtId="0" fontId="29" fillId="2" borderId="0" xfId="0" applyFont="1" applyFill="1" applyAlignment="1" applyProtection="1">
      <alignment horizontal="left"/>
      <protection hidden="1"/>
    </xf>
    <xf numFmtId="0" fontId="29" fillId="2" borderId="0" xfId="0" applyFont="1" applyFill="1" applyProtection="1">
      <protection hidden="1"/>
    </xf>
    <xf numFmtId="0" fontId="41" fillId="2" borderId="0" xfId="0" applyFont="1" applyFill="1" applyAlignment="1" applyProtection="1">
      <alignment horizontal="left"/>
      <protection hidden="1"/>
    </xf>
    <xf numFmtId="0" fontId="32" fillId="2" borderId="0" xfId="0" applyFont="1" applyFill="1" applyProtection="1">
      <protection hidden="1"/>
    </xf>
    <xf numFmtId="0" fontId="42" fillId="2" borderId="0" xfId="0" applyFont="1" applyFill="1" applyProtection="1">
      <protection hidden="1"/>
    </xf>
    <xf numFmtId="11" fontId="33" fillId="2" borderId="0" xfId="0" applyNumberFormat="1" applyFont="1" applyFill="1" applyProtection="1">
      <protection hidden="1"/>
    </xf>
    <xf numFmtId="0" fontId="33" fillId="2" borderId="0" xfId="0" applyFont="1" applyFill="1" applyProtection="1">
      <protection hidden="1"/>
    </xf>
    <xf numFmtId="0" fontId="29" fillId="2" borderId="0" xfId="0" applyFont="1" applyFill="1" applyAlignment="1" applyProtection="1">
      <alignment horizontal="center"/>
      <protection hidden="1"/>
    </xf>
    <xf numFmtId="11" fontId="30" fillId="3" borderId="2" xfId="0" applyNumberFormat="1" applyFont="1" applyFill="1" applyBorder="1" applyAlignment="1" applyProtection="1">
      <alignment horizontal="center"/>
      <protection hidden="1"/>
    </xf>
    <xf numFmtId="0" fontId="43" fillId="2" borderId="0" xfId="0" applyFont="1" applyFill="1" applyAlignment="1" applyProtection="1">
      <alignment horizontal="center"/>
      <protection hidden="1"/>
    </xf>
    <xf numFmtId="0" fontId="32" fillId="2" borderId="0" xfId="0" applyFont="1" applyFill="1" applyAlignment="1" applyProtection="1">
      <alignment horizontal="left"/>
      <protection hidden="1"/>
    </xf>
    <xf numFmtId="0" fontId="32" fillId="2" borderId="0" xfId="0" applyFont="1" applyFill="1" applyAlignment="1" applyProtection="1">
      <alignment horizontal="right"/>
      <protection hidden="1"/>
    </xf>
    <xf numFmtId="11" fontId="26" fillId="2" borderId="0" xfId="0" applyNumberFormat="1" applyFont="1" applyFill="1" applyAlignment="1" applyProtection="1">
      <alignment horizontal="center"/>
      <protection hidden="1"/>
    </xf>
    <xf numFmtId="166" fontId="26" fillId="2" borderId="0" xfId="0" applyNumberFormat="1" applyFont="1" applyFill="1" applyAlignment="1" applyProtection="1">
      <alignment horizontal="center"/>
      <protection hidden="1"/>
    </xf>
    <xf numFmtId="0" fontId="31" fillId="2" borderId="0" xfId="0" applyFont="1" applyFill="1" applyAlignment="1" applyProtection="1">
      <alignment horizontal="right"/>
      <protection hidden="1"/>
    </xf>
    <xf numFmtId="164" fontId="25" fillId="2" borderId="0" xfId="0" applyNumberFormat="1" applyFont="1" applyFill="1" applyAlignment="1" applyProtection="1">
      <alignment horizontal="center"/>
      <protection hidden="1"/>
    </xf>
    <xf numFmtId="11" fontId="10" fillId="2" borderId="0" xfId="0" applyNumberFormat="1" applyFont="1" applyFill="1" applyProtection="1">
      <protection hidden="1"/>
    </xf>
    <xf numFmtId="0" fontId="25" fillId="2" borderId="0" xfId="0" quotePrefix="1" applyFont="1" applyFill="1" applyAlignment="1" applyProtection="1">
      <alignment horizontal="center"/>
      <protection hidden="1"/>
    </xf>
    <xf numFmtId="169" fontId="26" fillId="2" borderId="0" xfId="1" applyNumberFormat="1" applyFont="1" applyFill="1" applyBorder="1" applyAlignment="1" applyProtection="1">
      <alignment horizontal="center"/>
      <protection hidden="1"/>
    </xf>
    <xf numFmtId="2" fontId="26" fillId="2" borderId="0" xfId="0" applyNumberFormat="1" applyFont="1" applyFill="1" applyAlignment="1" applyProtection="1">
      <alignment horizontal="center"/>
      <protection hidden="1"/>
    </xf>
    <xf numFmtId="11" fontId="0" fillId="2" borderId="0" xfId="0" applyNumberFormat="1" applyFill="1" applyProtection="1">
      <protection hidden="1"/>
    </xf>
    <xf numFmtId="2" fontId="21" fillId="4" borderId="2" xfId="1" applyNumberFormat="1" applyFont="1" applyFill="1" applyBorder="1" applyAlignment="1" applyProtection="1">
      <alignment horizontal="center"/>
      <protection locked="0" hidden="1"/>
    </xf>
    <xf numFmtId="2" fontId="21" fillId="4" borderId="4" xfId="1" applyNumberFormat="1" applyFont="1" applyFill="1" applyBorder="1" applyAlignment="1" applyProtection="1">
      <alignment horizontal="center"/>
      <protection locked="0" hidden="1"/>
    </xf>
    <xf numFmtId="0" fontId="22" fillId="2" borderId="0" xfId="0" applyFont="1" applyFill="1" applyAlignment="1" applyProtection="1">
      <alignment horizontal="right"/>
      <protection hidden="1"/>
    </xf>
    <xf numFmtId="4" fontId="30" fillId="3" borderId="1" xfId="0" applyNumberFormat="1" applyFont="1" applyFill="1" applyBorder="1" applyAlignment="1" applyProtection="1">
      <alignment horizontal="center"/>
      <protection hidden="1"/>
    </xf>
    <xf numFmtId="4" fontId="25" fillId="3" borderId="3" xfId="0" applyNumberFormat="1" applyFont="1" applyFill="1" applyBorder="1" applyAlignment="1" applyProtection="1">
      <alignment horizontal="center"/>
      <protection hidden="1"/>
    </xf>
    <xf numFmtId="4" fontId="25" fillId="3" borderId="2" xfId="0" applyNumberFormat="1" applyFont="1" applyFill="1" applyBorder="1" applyAlignment="1" applyProtection="1">
      <alignment horizontal="center"/>
      <protection hidden="1"/>
    </xf>
    <xf numFmtId="4" fontId="25" fillId="3" borderId="4" xfId="0" applyNumberFormat="1" applyFont="1" applyFill="1" applyBorder="1" applyAlignment="1" applyProtection="1">
      <alignment horizontal="center"/>
      <protection hidden="1"/>
    </xf>
    <xf numFmtId="4" fontId="30" fillId="3" borderId="3" xfId="0" applyNumberFormat="1" applyFont="1" applyFill="1" applyBorder="1" applyAlignment="1" applyProtection="1">
      <alignment horizontal="center"/>
      <protection hidden="1"/>
    </xf>
    <xf numFmtId="4" fontId="30" fillId="3" borderId="4" xfId="0" applyNumberFormat="1" applyFont="1" applyFill="1" applyBorder="1" applyAlignment="1" applyProtection="1">
      <alignment horizontal="center"/>
      <protection hidden="1"/>
    </xf>
    <xf numFmtId="0" fontId="43" fillId="4" borderId="1" xfId="0" applyFont="1" applyFill="1" applyBorder="1" applyAlignment="1" applyProtection="1">
      <alignment horizontal="center"/>
      <protection locked="0" hidden="1"/>
    </xf>
    <xf numFmtId="0" fontId="5" fillId="4" borderId="1" xfId="0" applyFont="1" applyFill="1" applyBorder="1" applyAlignment="1" applyProtection="1">
      <alignment horizontal="center"/>
      <protection locked="0" hidden="1"/>
    </xf>
    <xf numFmtId="0" fontId="25" fillId="4" borderId="1" xfId="0" applyFont="1" applyFill="1" applyBorder="1" applyAlignment="1" applyProtection="1">
      <alignment horizontal="center"/>
      <protection locked="0" hidden="1"/>
    </xf>
    <xf numFmtId="4" fontId="25" fillId="4" borderId="1" xfId="0" applyNumberFormat="1" applyFont="1" applyFill="1" applyBorder="1" applyAlignment="1" applyProtection="1">
      <alignment horizontal="center"/>
      <protection locked="0" hidden="1"/>
    </xf>
    <xf numFmtId="0" fontId="20" fillId="2" borderId="0" xfId="0" applyFont="1" applyFill="1" applyAlignment="1" applyProtection="1">
      <alignment horizontal="right"/>
      <protection hidden="1"/>
    </xf>
    <xf numFmtId="0" fontId="28" fillId="2" borderId="0" xfId="0" applyFont="1" applyFill="1" applyProtection="1">
      <protection hidden="1"/>
    </xf>
    <xf numFmtId="0" fontId="28" fillId="2" borderId="0" xfId="0" applyFont="1" applyFill="1" applyAlignment="1" applyProtection="1">
      <alignment horizontal="left"/>
      <protection hidden="1"/>
    </xf>
    <xf numFmtId="0" fontId="45" fillId="2" borderId="0" xfId="0" applyFont="1" applyFill="1" applyAlignment="1" applyProtection="1">
      <alignment horizontal="center"/>
      <protection hidden="1"/>
    </xf>
    <xf numFmtId="0" fontId="45" fillId="2" borderId="0" xfId="0" applyFont="1" applyFill="1" applyProtection="1">
      <protection hidden="1"/>
    </xf>
    <xf numFmtId="0" fontId="1" fillId="2" borderId="0" xfId="0" applyFont="1" applyFill="1" applyAlignment="1" applyProtection="1">
      <alignment horizontal="center"/>
      <protection hidden="1"/>
    </xf>
    <xf numFmtId="0" fontId="46" fillId="2" borderId="0" xfId="0" applyFont="1" applyFill="1" applyAlignment="1" applyProtection="1">
      <alignment horizontal="left"/>
      <protection hidden="1"/>
    </xf>
    <xf numFmtId="0" fontId="1" fillId="2" borderId="0" xfId="0" applyFont="1" applyFill="1" applyProtection="1">
      <protection hidden="1"/>
    </xf>
    <xf numFmtId="0" fontId="35" fillId="2" borderId="0" xfId="0" applyFont="1" applyFill="1" applyAlignment="1" applyProtection="1">
      <alignment horizontal="left"/>
      <protection hidden="1"/>
    </xf>
    <xf numFmtId="0" fontId="28" fillId="2" borderId="0" xfId="0" applyFont="1" applyFill="1" applyAlignment="1" applyProtection="1">
      <alignment horizontal="right"/>
      <protection hidden="1"/>
    </xf>
    <xf numFmtId="2" fontId="0" fillId="2" borderId="0" xfId="0" applyNumberFormat="1" applyFill="1" applyProtection="1">
      <protection hidden="1"/>
    </xf>
    <xf numFmtId="0" fontId="5" fillId="2" borderId="0" xfId="0" applyFont="1" applyFill="1" applyAlignment="1" applyProtection="1">
      <alignment horizontal="right"/>
      <protection hidden="1"/>
    </xf>
    <xf numFmtId="0" fontId="51" fillId="2" borderId="0" xfId="0" applyFont="1" applyFill="1" applyProtection="1">
      <protection hidden="1"/>
    </xf>
    <xf numFmtId="0" fontId="5" fillId="2" borderId="0" xfId="0" applyFont="1" applyFill="1" applyProtection="1">
      <protection hidden="1"/>
    </xf>
    <xf numFmtId="0" fontId="52" fillId="2" borderId="0" xfId="0" applyFont="1" applyFill="1" applyAlignment="1" applyProtection="1">
      <alignment horizontal="center"/>
      <protection hidden="1"/>
    </xf>
    <xf numFmtId="168" fontId="26" fillId="2" borderId="0" xfId="0" applyNumberFormat="1" applyFont="1" applyFill="1" applyProtection="1">
      <protection hidden="1"/>
    </xf>
    <xf numFmtId="0" fontId="35" fillId="2" borderId="0" xfId="0" applyFont="1" applyFill="1" applyProtection="1">
      <protection hidden="1"/>
    </xf>
    <xf numFmtId="9" fontId="26" fillId="2" borderId="0" xfId="0" applyNumberFormat="1" applyFont="1" applyFill="1" applyProtection="1">
      <protection hidden="1"/>
    </xf>
    <xf numFmtId="0" fontId="36" fillId="2" borderId="0" xfId="0" applyFont="1" applyFill="1" applyProtection="1">
      <protection hidden="1"/>
    </xf>
    <xf numFmtId="0" fontId="34" fillId="2" borderId="0" xfId="0" applyFont="1" applyFill="1" applyProtection="1">
      <protection hidden="1"/>
    </xf>
    <xf numFmtId="0" fontId="0" fillId="4" borderId="9" xfId="0" applyFill="1" applyBorder="1" applyAlignment="1" applyProtection="1">
      <alignment horizontal="center"/>
      <protection hidden="1"/>
    </xf>
    <xf numFmtId="0" fontId="26" fillId="2" borderId="0" xfId="0" applyFont="1" applyFill="1" applyAlignment="1" applyProtection="1">
      <alignment horizontal="left"/>
      <protection hidden="1"/>
    </xf>
    <xf numFmtId="1" fontId="0" fillId="4" borderId="15" xfId="0" applyNumberFormat="1" applyFill="1" applyBorder="1" applyAlignment="1" applyProtection="1">
      <alignment horizontal="center"/>
      <protection hidden="1"/>
    </xf>
    <xf numFmtId="1" fontId="0" fillId="4" borderId="18" xfId="0" applyNumberFormat="1" applyFill="1" applyBorder="1" applyAlignment="1" applyProtection="1">
      <alignment horizontal="center"/>
      <protection hidden="1"/>
    </xf>
    <xf numFmtId="0" fontId="26" fillId="3" borderId="10" xfId="0" applyFont="1" applyFill="1" applyBorder="1" applyProtection="1">
      <protection hidden="1"/>
    </xf>
    <xf numFmtId="11" fontId="26" fillId="3" borderId="19" xfId="0" applyNumberFormat="1" applyFont="1" applyFill="1" applyBorder="1" applyProtection="1">
      <protection hidden="1"/>
    </xf>
    <xf numFmtId="0" fontId="23" fillId="2" borderId="0" xfId="0" applyFont="1" applyFill="1" applyProtection="1">
      <protection hidden="1"/>
    </xf>
    <xf numFmtId="0" fontId="38" fillId="2" borderId="0" xfId="0" applyFont="1" applyFill="1" applyAlignment="1" applyProtection="1">
      <alignment horizontal="left"/>
      <protection hidden="1"/>
    </xf>
    <xf numFmtId="1" fontId="0" fillId="4" borderId="9" xfId="0" applyNumberFormat="1" applyFill="1" applyBorder="1" applyAlignment="1" applyProtection="1">
      <alignment horizontal="center"/>
      <protection hidden="1"/>
    </xf>
    <xf numFmtId="0" fontId="24" fillId="2" borderId="0" xfId="0" applyFont="1" applyFill="1" applyAlignment="1" applyProtection="1">
      <alignment horizontal="center"/>
      <protection hidden="1"/>
    </xf>
    <xf numFmtId="0" fontId="27" fillId="2" borderId="0" xfId="0" applyFont="1" applyFill="1" applyAlignment="1" applyProtection="1">
      <alignment horizontal="center"/>
      <protection hidden="1"/>
    </xf>
    <xf numFmtId="1" fontId="0" fillId="4" borderId="11" xfId="0" applyNumberFormat="1" applyFill="1" applyBorder="1" applyAlignment="1" applyProtection="1">
      <alignment horizontal="center"/>
      <protection hidden="1"/>
    </xf>
    <xf numFmtId="166" fontId="25" fillId="2" borderId="0" xfId="0" applyNumberFormat="1" applyFont="1" applyFill="1" applyProtection="1">
      <protection hidden="1"/>
    </xf>
    <xf numFmtId="0" fontId="25" fillId="5" borderId="20" xfId="0" applyFont="1" applyFill="1" applyBorder="1" applyAlignment="1" applyProtection="1">
      <alignment horizontal="center"/>
      <protection hidden="1"/>
    </xf>
    <xf numFmtId="0" fontId="37" fillId="5" borderId="12" xfId="0" applyFont="1" applyFill="1" applyBorder="1" applyAlignment="1" applyProtection="1">
      <alignment horizontal="center"/>
      <protection hidden="1"/>
    </xf>
    <xf numFmtId="0" fontId="22" fillId="5" borderId="12" xfId="0" applyFont="1" applyFill="1" applyBorder="1" applyAlignment="1" applyProtection="1">
      <alignment horizontal="center"/>
      <protection hidden="1"/>
    </xf>
    <xf numFmtId="0" fontId="22" fillId="5" borderId="13" xfId="0" applyFont="1" applyFill="1" applyBorder="1" applyAlignment="1" applyProtection="1">
      <alignment horizontal="center"/>
      <protection hidden="1"/>
    </xf>
    <xf numFmtId="0" fontId="25" fillId="5" borderId="12" xfId="0" applyFont="1" applyFill="1" applyBorder="1" applyAlignment="1" applyProtection="1">
      <alignment horizontal="center"/>
      <protection hidden="1"/>
    </xf>
    <xf numFmtId="0" fontId="5" fillId="5" borderId="12" xfId="0" applyFont="1" applyFill="1" applyBorder="1" applyAlignment="1" applyProtection="1">
      <alignment horizontal="center"/>
      <protection hidden="1"/>
    </xf>
    <xf numFmtId="0" fontId="25" fillId="5" borderId="11" xfId="0" applyFont="1" applyFill="1" applyBorder="1" applyAlignment="1" applyProtection="1">
      <alignment horizontal="center"/>
      <protection hidden="1"/>
    </xf>
    <xf numFmtId="0" fontId="25" fillId="5" borderId="13" xfId="0" applyFont="1" applyFill="1" applyBorder="1" applyAlignment="1" applyProtection="1">
      <alignment horizontal="center"/>
      <protection hidden="1"/>
    </xf>
    <xf numFmtId="0" fontId="25" fillId="2" borderId="14" xfId="0" applyFont="1" applyFill="1" applyBorder="1" applyAlignment="1" applyProtection="1">
      <alignment horizontal="center"/>
      <protection hidden="1"/>
    </xf>
    <xf numFmtId="165" fontId="26" fillId="2" borderId="8" xfId="1" applyNumberFormat="1" applyFont="1" applyFill="1" applyBorder="1" applyAlignment="1" applyProtection="1">
      <alignment horizontal="center"/>
      <protection hidden="1"/>
    </xf>
    <xf numFmtId="165" fontId="26" fillId="2" borderId="21" xfId="1" applyNumberFormat="1" applyFont="1" applyFill="1" applyBorder="1" applyAlignment="1" applyProtection="1">
      <alignment horizontal="center"/>
      <protection hidden="1"/>
    </xf>
    <xf numFmtId="165" fontId="26" fillId="2" borderId="10" xfId="1" applyNumberFormat="1" applyFont="1" applyFill="1" applyBorder="1" applyAlignment="1" applyProtection="1">
      <alignment horizontal="center"/>
      <protection hidden="1"/>
    </xf>
    <xf numFmtId="9" fontId="26" fillId="4" borderId="15" xfId="1" applyFont="1" applyFill="1" applyBorder="1" applyAlignment="1" applyProtection="1">
      <alignment horizontal="center"/>
      <protection hidden="1"/>
    </xf>
    <xf numFmtId="9" fontId="26" fillId="2" borderId="16" xfId="1" applyFont="1" applyFill="1" applyBorder="1" applyAlignment="1" applyProtection="1">
      <alignment horizontal="center"/>
      <protection hidden="1"/>
    </xf>
    <xf numFmtId="0" fontId="25" fillId="2" borderId="15" xfId="1" applyNumberFormat="1" applyFont="1" applyFill="1" applyBorder="1" applyAlignment="1" applyProtection="1">
      <alignment horizontal="center"/>
      <protection hidden="1"/>
    </xf>
    <xf numFmtId="165" fontId="26" fillId="2" borderId="14" xfId="1" applyNumberFormat="1" applyFont="1" applyFill="1" applyBorder="1" applyAlignment="1" applyProtection="1">
      <alignment horizontal="center"/>
      <protection hidden="1"/>
    </xf>
    <xf numFmtId="165" fontId="26" fillId="2" borderId="0" xfId="1" applyNumberFormat="1" applyFont="1" applyFill="1" applyBorder="1" applyAlignment="1" applyProtection="1">
      <alignment horizontal="center"/>
      <protection hidden="1"/>
    </xf>
    <xf numFmtId="165" fontId="26" fillId="2" borderId="16" xfId="1" applyNumberFormat="1" applyFont="1" applyFill="1" applyBorder="1" applyAlignment="1" applyProtection="1">
      <alignment horizontal="center"/>
      <protection hidden="1"/>
    </xf>
    <xf numFmtId="165" fontId="26" fillId="2" borderId="17" xfId="1" applyNumberFormat="1" applyFont="1" applyFill="1" applyBorder="1" applyAlignment="1" applyProtection="1">
      <alignment horizontal="center"/>
      <protection hidden="1"/>
    </xf>
    <xf numFmtId="165" fontId="26" fillId="2" borderId="22" xfId="1" applyNumberFormat="1" applyFont="1" applyFill="1" applyBorder="1" applyAlignment="1" applyProtection="1">
      <alignment horizontal="center"/>
      <protection hidden="1"/>
    </xf>
    <xf numFmtId="165" fontId="26" fillId="2" borderId="19" xfId="1" applyNumberFormat="1" applyFont="1" applyFill="1" applyBorder="1" applyAlignment="1" applyProtection="1">
      <alignment horizontal="center"/>
      <protection hidden="1"/>
    </xf>
    <xf numFmtId="9" fontId="26" fillId="4" borderId="18" xfId="1" applyFont="1" applyFill="1" applyBorder="1" applyAlignment="1" applyProtection="1">
      <alignment horizontal="center"/>
      <protection hidden="1"/>
    </xf>
    <xf numFmtId="9" fontId="26" fillId="2" borderId="19" xfId="1" applyFont="1" applyFill="1" applyBorder="1" applyAlignment="1" applyProtection="1">
      <alignment horizontal="center"/>
      <protection hidden="1"/>
    </xf>
    <xf numFmtId="0" fontId="25" fillId="2" borderId="18" xfId="1" applyNumberFormat="1" applyFont="1" applyFill="1" applyBorder="1" applyAlignment="1" applyProtection="1">
      <alignment horizontal="center"/>
      <protection hidden="1"/>
    </xf>
    <xf numFmtId="0" fontId="53" fillId="2" borderId="0" xfId="0" applyFont="1" applyFill="1" applyProtection="1">
      <protection hidden="1"/>
    </xf>
    <xf numFmtId="9" fontId="54" fillId="2" borderId="0" xfId="1" applyFont="1" applyFill="1" applyBorder="1" applyAlignment="1" applyProtection="1">
      <alignment horizontal="center"/>
      <protection hidden="1"/>
    </xf>
    <xf numFmtId="9" fontId="54" fillId="2" borderId="22" xfId="1" applyFont="1" applyFill="1" applyBorder="1" applyAlignment="1" applyProtection="1">
      <alignment horizontal="center"/>
      <protection hidden="1"/>
    </xf>
    <xf numFmtId="0" fontId="20" fillId="2" borderId="0" xfId="0" applyFont="1" applyFill="1" applyAlignment="1" applyProtection="1">
      <alignment horizontal="center"/>
      <protection hidden="1"/>
    </xf>
    <xf numFmtId="1" fontId="25" fillId="2" borderId="23" xfId="0" applyNumberFormat="1" applyFont="1" applyFill="1" applyBorder="1" applyAlignment="1" applyProtection="1">
      <alignment horizontal="center"/>
      <protection hidden="1"/>
    </xf>
    <xf numFmtId="0" fontId="6" fillId="2" borderId="0" xfId="0" applyFont="1" applyFill="1" applyAlignment="1" applyProtection="1">
      <alignment horizontal="left"/>
      <protection hidden="1"/>
    </xf>
    <xf numFmtId="0" fontId="5" fillId="2" borderId="0" xfId="0" applyFont="1" applyFill="1" applyAlignment="1" applyProtection="1">
      <alignment horizontal="center"/>
      <protection hidden="1"/>
    </xf>
    <xf numFmtId="167" fontId="13" fillId="2" borderId="0" xfId="0" applyNumberFormat="1" applyFont="1" applyFill="1" applyProtection="1">
      <protection hidden="1"/>
    </xf>
    <xf numFmtId="0" fontId="57" fillId="2" borderId="0" xfId="0" applyFont="1" applyFill="1" applyProtection="1">
      <protection hidden="1"/>
    </xf>
    <xf numFmtId="0" fontId="6" fillId="2" borderId="0" xfId="0" applyFont="1" applyFill="1" applyAlignment="1" applyProtection="1">
      <alignment horizontal="center"/>
      <protection hidden="1"/>
    </xf>
    <xf numFmtId="0" fontId="25" fillId="7" borderId="9" xfId="0" applyFont="1" applyFill="1" applyBorder="1" applyAlignment="1" applyProtection="1">
      <alignment horizontal="center"/>
      <protection hidden="1"/>
    </xf>
    <xf numFmtId="0" fontId="6" fillId="5" borderId="11" xfId="0" applyFont="1" applyFill="1" applyBorder="1" applyAlignment="1" applyProtection="1">
      <alignment vertical="center"/>
      <protection hidden="1"/>
    </xf>
    <xf numFmtId="0" fontId="6" fillId="5" borderId="8" xfId="0" applyFont="1" applyFill="1" applyBorder="1" applyAlignment="1" applyProtection="1">
      <alignment vertical="center"/>
      <protection hidden="1"/>
    </xf>
    <xf numFmtId="0" fontId="6" fillId="5" borderId="14" xfId="0" applyFont="1" applyFill="1" applyBorder="1" applyAlignment="1" applyProtection="1">
      <alignment vertical="center"/>
      <protection hidden="1"/>
    </xf>
    <xf numFmtId="0" fontId="26" fillId="5" borderId="17" xfId="0" applyFont="1" applyFill="1" applyBorder="1" applyAlignment="1" applyProtection="1">
      <alignment vertical="center"/>
      <protection hidden="1"/>
    </xf>
    <xf numFmtId="0" fontId="39" fillId="5" borderId="9" xfId="0" applyFont="1" applyFill="1" applyBorder="1" applyAlignment="1" applyProtection="1">
      <alignment vertical="center"/>
      <protection hidden="1"/>
    </xf>
    <xf numFmtId="0" fontId="39" fillId="5" borderId="18" xfId="0" applyFont="1" applyFill="1" applyBorder="1" applyAlignment="1" applyProtection="1">
      <alignment vertical="center"/>
      <protection hidden="1"/>
    </xf>
    <xf numFmtId="11" fontId="22" fillId="7" borderId="18" xfId="0" applyNumberFormat="1" applyFont="1" applyFill="1" applyBorder="1" applyAlignment="1" applyProtection="1">
      <alignment horizontal="center" vertical="center"/>
      <protection hidden="1"/>
    </xf>
    <xf numFmtId="0" fontId="26" fillId="5" borderId="9" xfId="0" applyFont="1" applyFill="1" applyBorder="1" applyAlignment="1" applyProtection="1">
      <alignment vertical="center"/>
      <protection hidden="1"/>
    </xf>
    <xf numFmtId="0" fontId="26" fillId="5" borderId="15" xfId="0" applyFont="1" applyFill="1" applyBorder="1" applyAlignment="1" applyProtection="1">
      <alignment vertical="center"/>
      <protection hidden="1"/>
    </xf>
    <xf numFmtId="0" fontId="26" fillId="5" borderId="18" xfId="0" applyFont="1" applyFill="1" applyBorder="1" applyAlignment="1" applyProtection="1">
      <alignment vertical="center"/>
      <protection hidden="1"/>
    </xf>
    <xf numFmtId="0" fontId="26" fillId="3" borderId="10" xfId="0" applyFont="1" applyFill="1" applyBorder="1" applyAlignment="1" applyProtection="1">
      <alignment vertical="center"/>
      <protection hidden="1"/>
    </xf>
    <xf numFmtId="9" fontId="26" fillId="3" borderId="16" xfId="0" applyNumberFormat="1" applyFont="1" applyFill="1" applyBorder="1" applyAlignment="1" applyProtection="1">
      <alignment vertical="center"/>
      <protection hidden="1"/>
    </xf>
    <xf numFmtId="0" fontId="26" fillId="3" borderId="16" xfId="0" applyFont="1" applyFill="1" applyBorder="1" applyAlignment="1" applyProtection="1">
      <alignment vertical="center"/>
      <protection hidden="1"/>
    </xf>
    <xf numFmtId="11" fontId="26" fillId="3" borderId="16" xfId="0" applyNumberFormat="1" applyFont="1" applyFill="1" applyBorder="1" applyAlignment="1" applyProtection="1">
      <alignment vertical="center"/>
      <protection hidden="1"/>
    </xf>
    <xf numFmtId="11" fontId="26" fillId="3" borderId="19" xfId="0" applyNumberFormat="1" applyFont="1" applyFill="1" applyBorder="1" applyAlignment="1" applyProtection="1">
      <alignment vertical="center"/>
      <protection hidden="1"/>
    </xf>
    <xf numFmtId="0" fontId="26" fillId="3" borderId="19" xfId="0" applyFont="1" applyFill="1" applyBorder="1" applyAlignment="1" applyProtection="1">
      <alignment vertical="center"/>
      <protection hidden="1"/>
    </xf>
    <xf numFmtId="0" fontId="6" fillId="5" borderId="11" xfId="0" applyFont="1" applyFill="1" applyBorder="1" applyAlignment="1" applyProtection="1">
      <alignment horizontal="center" vertical="center"/>
      <protection hidden="1"/>
    </xf>
    <xf numFmtId="0" fontId="26" fillId="5" borderId="9" xfId="0" applyFont="1" applyFill="1" applyBorder="1" applyProtection="1">
      <protection hidden="1"/>
    </xf>
    <xf numFmtId="0" fontId="1" fillId="5" borderId="11" xfId="0" applyFont="1" applyFill="1" applyBorder="1" applyAlignment="1" applyProtection="1">
      <alignment horizontal="center"/>
      <protection hidden="1"/>
    </xf>
    <xf numFmtId="0" fontId="35" fillId="2" borderId="0" xfId="0" applyFont="1" applyFill="1"/>
    <xf numFmtId="0" fontId="49" fillId="6" borderId="0" xfId="0" applyFont="1" applyFill="1"/>
    <xf numFmtId="0" fontId="50" fillId="6" borderId="0" xfId="0" applyFont="1" applyFill="1"/>
    <xf numFmtId="0" fontId="46" fillId="2" borderId="0" xfId="0" applyFont="1" applyFill="1"/>
    <xf numFmtId="0" fontId="50" fillId="6" borderId="0" xfId="0" applyFont="1" applyFill="1" applyAlignment="1">
      <alignment horizontal="right"/>
    </xf>
    <xf numFmtId="0" fontId="49" fillId="6" borderId="0" xfId="0" applyFont="1" applyFill="1" applyAlignment="1">
      <alignment horizontal="right"/>
    </xf>
    <xf numFmtId="0" fontId="21" fillId="2" borderId="0" xfId="0" applyFont="1" applyFill="1" applyAlignment="1">
      <alignment horizontal="right"/>
    </xf>
    <xf numFmtId="171" fontId="49" fillId="6" borderId="0" xfId="0" applyNumberFormat="1" applyFont="1" applyFill="1"/>
    <xf numFmtId="166" fontId="49" fillId="6" borderId="0" xfId="0" applyNumberFormat="1" applyFont="1" applyFill="1"/>
    <xf numFmtId="1" fontId="49" fillId="6" borderId="0" xfId="0" applyNumberFormat="1" applyFont="1" applyFill="1" applyAlignment="1">
      <alignment horizontal="right"/>
    </xf>
    <xf numFmtId="0" fontId="46" fillId="2" borderId="0" xfId="0" applyFont="1" applyFill="1" applyAlignment="1">
      <alignment horizontal="right"/>
    </xf>
    <xf numFmtId="0" fontId="40" fillId="6" borderId="0" xfId="0" applyFont="1" applyFill="1"/>
    <xf numFmtId="0" fontId="49" fillId="6" borderId="0" xfId="0" applyFont="1" applyFill="1" applyAlignment="1">
      <alignment vertical="justify"/>
    </xf>
    <xf numFmtId="170" fontId="49" fillId="6" borderId="0" xfId="0" applyNumberFormat="1" applyFont="1" applyFill="1"/>
    <xf numFmtId="0" fontId="40" fillId="2" borderId="0" xfId="0" applyFont="1" applyFill="1"/>
    <xf numFmtId="9" fontId="49" fillId="6" borderId="0" xfId="0" applyNumberFormat="1" applyFont="1" applyFill="1"/>
    <xf numFmtId="0" fontId="49" fillId="6" borderId="0" xfId="0" applyFont="1" applyFill="1" applyAlignment="1">
      <alignment horizontal="center"/>
    </xf>
    <xf numFmtId="0" fontId="50" fillId="6" borderId="0" xfId="0" applyFont="1" applyFill="1" applyAlignment="1">
      <alignment horizontal="center"/>
    </xf>
    <xf numFmtId="11" fontId="49" fillId="6" borderId="0" xfId="0" applyNumberFormat="1" applyFont="1" applyFill="1" applyAlignment="1">
      <alignment horizontal="center"/>
    </xf>
    <xf numFmtId="164" fontId="20" fillId="2" borderId="0" xfId="0" applyNumberFormat="1" applyFont="1" applyFill="1" applyAlignment="1" applyProtection="1">
      <alignment horizontal="center"/>
      <protection hidden="1"/>
    </xf>
    <xf numFmtId="164" fontId="67" fillId="2" borderId="0" xfId="0" applyNumberFormat="1" applyFont="1" applyFill="1" applyAlignment="1" applyProtection="1">
      <alignment horizontal="center"/>
      <protection hidden="1"/>
    </xf>
    <xf numFmtId="11" fontId="49" fillId="6" borderId="0" xfId="0" applyNumberFormat="1" applyFont="1" applyFill="1"/>
    <xf numFmtId="11" fontId="68" fillId="2" borderId="0" xfId="0" applyNumberFormat="1" applyFont="1" applyFill="1" applyProtection="1">
      <protection hidden="1"/>
    </xf>
    <xf numFmtId="9" fontId="49" fillId="6" borderId="0" xfId="1" applyFont="1" applyFill="1" applyProtection="1"/>
    <xf numFmtId="0" fontId="69" fillId="6" borderId="0" xfId="0" applyFont="1" applyFill="1" applyAlignment="1">
      <alignment horizontal="center"/>
    </xf>
    <xf numFmtId="166" fontId="67" fillId="8" borderId="1" xfId="0" applyNumberFormat="1" applyFont="1" applyFill="1" applyBorder="1" applyAlignment="1" applyProtection="1">
      <alignment horizontal="center"/>
      <protection hidden="1"/>
    </xf>
    <xf numFmtId="0" fontId="67" fillId="2" borderId="0" xfId="0" applyFont="1" applyFill="1" applyProtection="1">
      <protection hidden="1"/>
    </xf>
    <xf numFmtId="0" fontId="50" fillId="6" borderId="0" xfId="0" applyFont="1" applyFill="1" applyAlignment="1">
      <alignment horizontal="left"/>
    </xf>
    <xf numFmtId="0" fontId="0" fillId="6" borderId="0" xfId="0" applyFill="1" applyProtection="1">
      <protection hidden="1"/>
    </xf>
    <xf numFmtId="0" fontId="0" fillId="6" borderId="0" xfId="0" applyFill="1" applyAlignment="1" applyProtection="1">
      <alignment horizontal="center"/>
      <protection hidden="1"/>
    </xf>
    <xf numFmtId="0" fontId="30" fillId="6" borderId="0" xfId="0" applyFont="1" applyFill="1" applyAlignment="1" applyProtection="1">
      <alignment horizontal="center"/>
      <protection locked="0" hidden="1"/>
    </xf>
    <xf numFmtId="0" fontId="5" fillId="6" borderId="0" xfId="0" applyFont="1" applyFill="1" applyAlignment="1" applyProtection="1">
      <alignment horizontal="right"/>
      <protection hidden="1"/>
    </xf>
    <xf numFmtId="0" fontId="52" fillId="6" borderId="0" xfId="0" applyFont="1" applyFill="1" applyAlignment="1" applyProtection="1">
      <alignment horizontal="center"/>
      <protection hidden="1"/>
    </xf>
    <xf numFmtId="0" fontId="25" fillId="6" borderId="0" xfId="0" applyFont="1" applyFill="1" applyAlignment="1" applyProtection="1">
      <alignment horizontal="center"/>
      <protection hidden="1"/>
    </xf>
    <xf numFmtId="0" fontId="30" fillId="6" borderId="0" xfId="0" applyFont="1" applyFill="1" applyAlignment="1" applyProtection="1">
      <alignment horizontal="center"/>
      <protection hidden="1"/>
    </xf>
    <xf numFmtId="4" fontId="30" fillId="6" borderId="0" xfId="0" applyNumberFormat="1" applyFont="1" applyFill="1" applyAlignment="1" applyProtection="1">
      <alignment horizontal="center"/>
      <protection hidden="1"/>
    </xf>
    <xf numFmtId="0" fontId="20" fillId="6" borderId="0" xfId="0" applyFont="1" applyFill="1" applyAlignment="1" applyProtection="1">
      <alignment horizontal="center"/>
      <protection hidden="1"/>
    </xf>
    <xf numFmtId="4" fontId="25" fillId="6" borderId="0" xfId="0" applyNumberFormat="1" applyFont="1" applyFill="1" applyAlignment="1" applyProtection="1">
      <alignment horizontal="center"/>
      <protection hidden="1"/>
    </xf>
    <xf numFmtId="0" fontId="29" fillId="6" borderId="0" xfId="0" applyFont="1" applyFill="1" applyAlignment="1" applyProtection="1">
      <alignment horizontal="center"/>
      <protection hidden="1"/>
    </xf>
    <xf numFmtId="11" fontId="30" fillId="6" borderId="0" xfId="0" applyNumberFormat="1" applyFont="1" applyFill="1" applyAlignment="1" applyProtection="1">
      <alignment horizontal="center"/>
      <protection hidden="1"/>
    </xf>
    <xf numFmtId="166" fontId="67" fillId="6" borderId="0" xfId="0" applyNumberFormat="1" applyFont="1" applyFill="1" applyAlignment="1" applyProtection="1">
      <alignment horizontal="center"/>
      <protection hidden="1"/>
    </xf>
    <xf numFmtId="0" fontId="25" fillId="6" borderId="0" xfId="0" quotePrefix="1" applyFont="1" applyFill="1" applyAlignment="1" applyProtection="1">
      <alignment horizontal="center"/>
      <protection hidden="1"/>
    </xf>
    <xf numFmtId="2" fontId="26" fillId="6" borderId="0" xfId="0" applyNumberFormat="1" applyFont="1" applyFill="1" applyAlignment="1" applyProtection="1">
      <alignment horizontal="center"/>
      <protection hidden="1"/>
    </xf>
    <xf numFmtId="4" fontId="30" fillId="8" borderId="1" xfId="0" applyNumberFormat="1" applyFont="1" applyFill="1" applyBorder="1" applyAlignment="1" applyProtection="1">
      <alignment horizontal="center"/>
      <protection hidden="1"/>
    </xf>
    <xf numFmtId="164" fontId="49" fillId="6" borderId="0" xfId="0" applyNumberFormat="1" applyFont="1" applyFill="1" applyAlignment="1">
      <alignment horizontal="center"/>
    </xf>
    <xf numFmtId="9" fontId="49" fillId="6" borderId="0" xfId="1" applyFont="1" applyFill="1" applyAlignment="1" applyProtection="1">
      <alignment horizontal="center"/>
    </xf>
    <xf numFmtId="166" fontId="49" fillId="6" borderId="0" xfId="0" applyNumberFormat="1" applyFont="1" applyFill="1" applyAlignment="1">
      <alignment horizontal="center"/>
    </xf>
    <xf numFmtId="2" fontId="49" fillId="6" borderId="0" xfId="0" applyNumberFormat="1" applyFont="1" applyFill="1" applyAlignment="1">
      <alignment horizontal="center"/>
    </xf>
    <xf numFmtId="2" fontId="66" fillId="6" borderId="0" xfId="0" applyNumberFormat="1" applyFont="1" applyFill="1" applyAlignment="1">
      <alignment horizontal="center"/>
    </xf>
    <xf numFmtId="2" fontId="29" fillId="2" borderId="0" xfId="0" applyNumberFormat="1" applyFont="1" applyFill="1" applyAlignment="1" applyProtection="1">
      <alignment horizontal="center"/>
      <protection hidden="1"/>
    </xf>
    <xf numFmtId="0" fontId="67" fillId="2" borderId="0" xfId="0" applyFont="1" applyFill="1" applyAlignment="1" applyProtection="1">
      <alignment horizontal="center"/>
      <protection hidden="1"/>
    </xf>
    <xf numFmtId="9" fontId="0" fillId="6" borderId="0" xfId="1" applyFont="1" applyFill="1" applyProtection="1">
      <protection hidden="1"/>
    </xf>
    <xf numFmtId="0" fontId="25" fillId="6" borderId="0" xfId="0" applyFont="1" applyFill="1" applyAlignment="1" applyProtection="1">
      <alignment horizontal="center"/>
      <protection locked="0" hidden="1"/>
    </xf>
    <xf numFmtId="1" fontId="25" fillId="6" borderId="0" xfId="0" applyNumberFormat="1" applyFont="1" applyFill="1" applyAlignment="1" applyProtection="1">
      <alignment horizontal="center"/>
      <protection hidden="1"/>
    </xf>
    <xf numFmtId="0" fontId="71" fillId="6" borderId="0" xfId="0" applyFont="1" applyFill="1"/>
    <xf numFmtId="0" fontId="20" fillId="4" borderId="5" xfId="0" applyFont="1" applyFill="1" applyBorder="1" applyAlignment="1" applyProtection="1">
      <alignment horizontal="center"/>
      <protection locked="0" hidden="1"/>
    </xf>
    <xf numFmtId="0" fontId="30" fillId="4" borderId="6" xfId="0" applyFont="1" applyFill="1" applyBorder="1" applyAlignment="1" applyProtection="1">
      <alignment horizontal="center"/>
      <protection locked="0" hidden="1"/>
    </xf>
    <xf numFmtId="0" fontId="30" fillId="4" borderId="7" xfId="0" applyFont="1" applyFill="1" applyBorder="1" applyAlignment="1" applyProtection="1">
      <alignment horizontal="center"/>
      <protection locked="0" hidden="1"/>
    </xf>
    <xf numFmtId="0" fontId="44" fillId="4" borderId="5" xfId="0" applyFont="1" applyFill="1" applyBorder="1" applyAlignment="1" applyProtection="1">
      <alignment horizontal="center"/>
      <protection locked="0" hidden="1"/>
    </xf>
    <xf numFmtId="0" fontId="44" fillId="4" borderId="7" xfId="0" applyFont="1" applyFill="1" applyBorder="1" applyAlignment="1" applyProtection="1">
      <alignment horizontal="center"/>
      <protection locked="0" hidden="1"/>
    </xf>
    <xf numFmtId="0" fontId="31" fillId="2" borderId="0" xfId="0" applyFont="1" applyFill="1" applyBorder="1" applyProtection="1">
      <protection hidden="1"/>
    </xf>
    <xf numFmtId="0" fontId="0" fillId="2" borderId="0" xfId="0" applyFill="1" applyBorder="1" applyProtection="1">
      <protection hidden="1"/>
    </xf>
    <xf numFmtId="0" fontId="30" fillId="2" borderId="0" xfId="0" applyFont="1" applyFill="1" applyBorder="1" applyAlignment="1" applyProtection="1">
      <alignment horizontal="center"/>
      <protection hidden="1"/>
    </xf>
    <xf numFmtId="0" fontId="0" fillId="6" borderId="0" xfId="0" applyFill="1"/>
    <xf numFmtId="0" fontId="67" fillId="6" borderId="0" xfId="0" applyFont="1" applyFill="1"/>
    <xf numFmtId="0" fontId="0" fillId="6" borderId="0" xfId="0" applyFill="1" applyAlignment="1">
      <alignment horizontal="center"/>
    </xf>
    <xf numFmtId="0" fontId="67" fillId="6" borderId="0" xfId="0" applyFont="1" applyFill="1" applyAlignment="1">
      <alignment horizontal="center"/>
    </xf>
    <xf numFmtId="2" fontId="21" fillId="6" borderId="3" xfId="1" applyNumberFormat="1" applyFont="1" applyFill="1" applyBorder="1" applyAlignment="1" applyProtection="1">
      <alignment horizontal="center"/>
      <protection locked="0" hidden="1"/>
    </xf>
    <xf numFmtId="2" fontId="21" fillId="6" borderId="2" xfId="1" applyNumberFormat="1" applyFont="1" applyFill="1" applyBorder="1" applyAlignment="1" applyProtection="1">
      <alignment horizontal="center"/>
      <protection locked="0" hidden="1"/>
    </xf>
    <xf numFmtId="2" fontId="21" fillId="6" borderId="4" xfId="1" applyNumberFormat="1" applyFont="1" applyFill="1" applyBorder="1" applyAlignment="1" applyProtection="1">
      <alignment horizontal="center"/>
      <protection locked="0" hidden="1"/>
    </xf>
    <xf numFmtId="0" fontId="0" fillId="9" borderId="3" xfId="0" applyFill="1" applyBorder="1"/>
    <xf numFmtId="0" fontId="0" fillId="9" borderId="2" xfId="0" applyFill="1" applyBorder="1"/>
    <xf numFmtId="0" fontId="0" fillId="9" borderId="4" xfId="0" applyFill="1" applyBorder="1"/>
  </cellXfs>
  <cellStyles count="2">
    <cellStyle name="Normal" xfId="0" builtinId="0"/>
    <cellStyle name="Percent" xfId="1" builtinId="5"/>
  </cellStyles>
  <dxfs count="0"/>
  <tableStyles count="0" defaultTableStyle="TableStyleMedium9" defaultPivotStyle="PivotStyleLight16"/>
  <colors>
    <mruColors>
      <color rgb="FF00FF00"/>
      <color rgb="FFFF0066"/>
      <color rgb="FFFFFF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Calibri"/>
                <a:ea typeface="Calibri"/>
                <a:cs typeface="Calibri"/>
              </a:defRPr>
            </a:pPr>
            <a:r>
              <a:rPr lang="en-GB"/>
              <a:t>Spectral power distribution</a:t>
            </a:r>
          </a:p>
        </c:rich>
      </c:tx>
      <c:overlay val="0"/>
      <c:spPr>
        <a:noFill/>
        <a:ln w="25400">
          <a:noFill/>
        </a:ln>
      </c:spPr>
    </c:title>
    <c:autoTitleDeleted val="0"/>
    <c:plotArea>
      <c:layout>
        <c:manualLayout>
          <c:layoutTarget val="inner"/>
          <c:xMode val="edge"/>
          <c:yMode val="edge"/>
          <c:x val="0.16893387090629175"/>
          <c:y val="0.17876072168812843"/>
          <c:w val="0.76810016965372263"/>
          <c:h val="0.57053782082377869"/>
        </c:manualLayout>
      </c:layout>
      <c:scatterChart>
        <c:scatterStyle val="smoothMarker"/>
        <c:varyColors val="0"/>
        <c:ser>
          <c:idx val="0"/>
          <c:order val="0"/>
          <c:tx>
            <c:strRef>
              <c:f>Toolbox!$AD$11</c:f>
              <c:strCache>
                <c:ptCount val="1"/>
                <c:pt idx="0">
                  <c:v>Unweighted</c:v>
                </c:pt>
              </c:strCache>
            </c:strRef>
          </c:tx>
          <c:spPr>
            <a:ln>
              <a:solidFill>
                <a:srgbClr val="0000FF"/>
              </a:solidFill>
            </a:ln>
          </c:spPr>
          <c:marker>
            <c:symbol val="none"/>
          </c:marker>
          <c:xVal>
            <c:numRef>
              <c:f>Toolbox!$AC$12:$AC$108</c:f>
              <c:numCache>
                <c:formatCode>General</c:formatCode>
                <c:ptCount val="97"/>
                <c:pt idx="0">
                  <c:v>300</c:v>
                </c:pt>
                <c:pt idx="1">
                  <c:v>305</c:v>
                </c:pt>
                <c:pt idx="2">
                  <c:v>310</c:v>
                </c:pt>
                <c:pt idx="3">
                  <c:v>315</c:v>
                </c:pt>
                <c:pt idx="4">
                  <c:v>320</c:v>
                </c:pt>
                <c:pt idx="5">
                  <c:v>325</c:v>
                </c:pt>
                <c:pt idx="6">
                  <c:v>330</c:v>
                </c:pt>
                <c:pt idx="7">
                  <c:v>335</c:v>
                </c:pt>
                <c:pt idx="8">
                  <c:v>340</c:v>
                </c:pt>
                <c:pt idx="9">
                  <c:v>345</c:v>
                </c:pt>
                <c:pt idx="10">
                  <c:v>350</c:v>
                </c:pt>
                <c:pt idx="11">
                  <c:v>355</c:v>
                </c:pt>
                <c:pt idx="12">
                  <c:v>360</c:v>
                </c:pt>
                <c:pt idx="13">
                  <c:v>365</c:v>
                </c:pt>
                <c:pt idx="14">
                  <c:v>370</c:v>
                </c:pt>
                <c:pt idx="15">
                  <c:v>375</c:v>
                </c:pt>
                <c:pt idx="16">
                  <c:v>380</c:v>
                </c:pt>
                <c:pt idx="17">
                  <c:v>385</c:v>
                </c:pt>
                <c:pt idx="18">
                  <c:v>390</c:v>
                </c:pt>
                <c:pt idx="19">
                  <c:v>395</c:v>
                </c:pt>
                <c:pt idx="20">
                  <c:v>400</c:v>
                </c:pt>
                <c:pt idx="21">
                  <c:v>405</c:v>
                </c:pt>
                <c:pt idx="22">
                  <c:v>410</c:v>
                </c:pt>
                <c:pt idx="23">
                  <c:v>415</c:v>
                </c:pt>
                <c:pt idx="24">
                  <c:v>420</c:v>
                </c:pt>
                <c:pt idx="25">
                  <c:v>425</c:v>
                </c:pt>
                <c:pt idx="26">
                  <c:v>430</c:v>
                </c:pt>
                <c:pt idx="27">
                  <c:v>435</c:v>
                </c:pt>
                <c:pt idx="28">
                  <c:v>440</c:v>
                </c:pt>
                <c:pt idx="29">
                  <c:v>445</c:v>
                </c:pt>
                <c:pt idx="30">
                  <c:v>450</c:v>
                </c:pt>
                <c:pt idx="31">
                  <c:v>455</c:v>
                </c:pt>
                <c:pt idx="32">
                  <c:v>460</c:v>
                </c:pt>
                <c:pt idx="33">
                  <c:v>465</c:v>
                </c:pt>
                <c:pt idx="34">
                  <c:v>470</c:v>
                </c:pt>
                <c:pt idx="35">
                  <c:v>475</c:v>
                </c:pt>
                <c:pt idx="36">
                  <c:v>480</c:v>
                </c:pt>
                <c:pt idx="37">
                  <c:v>485</c:v>
                </c:pt>
                <c:pt idx="38">
                  <c:v>490</c:v>
                </c:pt>
                <c:pt idx="39">
                  <c:v>495</c:v>
                </c:pt>
                <c:pt idx="40">
                  <c:v>500</c:v>
                </c:pt>
                <c:pt idx="41">
                  <c:v>505</c:v>
                </c:pt>
                <c:pt idx="42">
                  <c:v>510</c:v>
                </c:pt>
                <c:pt idx="43">
                  <c:v>515</c:v>
                </c:pt>
                <c:pt idx="44">
                  <c:v>520</c:v>
                </c:pt>
                <c:pt idx="45">
                  <c:v>525</c:v>
                </c:pt>
                <c:pt idx="46">
                  <c:v>530</c:v>
                </c:pt>
                <c:pt idx="47">
                  <c:v>535</c:v>
                </c:pt>
                <c:pt idx="48">
                  <c:v>540</c:v>
                </c:pt>
                <c:pt idx="49">
                  <c:v>545</c:v>
                </c:pt>
                <c:pt idx="50">
                  <c:v>550</c:v>
                </c:pt>
                <c:pt idx="51">
                  <c:v>555</c:v>
                </c:pt>
                <c:pt idx="52">
                  <c:v>560</c:v>
                </c:pt>
                <c:pt idx="53">
                  <c:v>565</c:v>
                </c:pt>
                <c:pt idx="54">
                  <c:v>570</c:v>
                </c:pt>
                <c:pt idx="55">
                  <c:v>575</c:v>
                </c:pt>
                <c:pt idx="56">
                  <c:v>580</c:v>
                </c:pt>
                <c:pt idx="57">
                  <c:v>585</c:v>
                </c:pt>
                <c:pt idx="58">
                  <c:v>590</c:v>
                </c:pt>
                <c:pt idx="59">
                  <c:v>595</c:v>
                </c:pt>
                <c:pt idx="60">
                  <c:v>600</c:v>
                </c:pt>
                <c:pt idx="61">
                  <c:v>605</c:v>
                </c:pt>
                <c:pt idx="62">
                  <c:v>610</c:v>
                </c:pt>
                <c:pt idx="63">
                  <c:v>615</c:v>
                </c:pt>
                <c:pt idx="64">
                  <c:v>620</c:v>
                </c:pt>
                <c:pt idx="65">
                  <c:v>625</c:v>
                </c:pt>
                <c:pt idx="66">
                  <c:v>630</c:v>
                </c:pt>
                <c:pt idx="67">
                  <c:v>635</c:v>
                </c:pt>
                <c:pt idx="68">
                  <c:v>640</c:v>
                </c:pt>
                <c:pt idx="69">
                  <c:v>645</c:v>
                </c:pt>
                <c:pt idx="70">
                  <c:v>650</c:v>
                </c:pt>
                <c:pt idx="71">
                  <c:v>655</c:v>
                </c:pt>
                <c:pt idx="72">
                  <c:v>660</c:v>
                </c:pt>
                <c:pt idx="73">
                  <c:v>665</c:v>
                </c:pt>
                <c:pt idx="74">
                  <c:v>670</c:v>
                </c:pt>
                <c:pt idx="75">
                  <c:v>675</c:v>
                </c:pt>
                <c:pt idx="76">
                  <c:v>680</c:v>
                </c:pt>
                <c:pt idx="77">
                  <c:v>685</c:v>
                </c:pt>
                <c:pt idx="78">
                  <c:v>690</c:v>
                </c:pt>
                <c:pt idx="79">
                  <c:v>695</c:v>
                </c:pt>
                <c:pt idx="80">
                  <c:v>700</c:v>
                </c:pt>
                <c:pt idx="81">
                  <c:v>705</c:v>
                </c:pt>
                <c:pt idx="82">
                  <c:v>710</c:v>
                </c:pt>
                <c:pt idx="83">
                  <c:v>715</c:v>
                </c:pt>
                <c:pt idx="84">
                  <c:v>720</c:v>
                </c:pt>
                <c:pt idx="85">
                  <c:v>725</c:v>
                </c:pt>
                <c:pt idx="86">
                  <c:v>730</c:v>
                </c:pt>
                <c:pt idx="87">
                  <c:v>735</c:v>
                </c:pt>
                <c:pt idx="88">
                  <c:v>740</c:v>
                </c:pt>
                <c:pt idx="89">
                  <c:v>745</c:v>
                </c:pt>
                <c:pt idx="90">
                  <c:v>750</c:v>
                </c:pt>
                <c:pt idx="91">
                  <c:v>755</c:v>
                </c:pt>
                <c:pt idx="92">
                  <c:v>760</c:v>
                </c:pt>
                <c:pt idx="93">
                  <c:v>765</c:v>
                </c:pt>
                <c:pt idx="94">
                  <c:v>770</c:v>
                </c:pt>
                <c:pt idx="95">
                  <c:v>775</c:v>
                </c:pt>
                <c:pt idx="96">
                  <c:v>780</c:v>
                </c:pt>
              </c:numCache>
            </c:numRef>
          </c:xVal>
          <c:yVal>
            <c:numRef>
              <c:f>Toolbox!$AD$12:$AD$108</c:f>
              <c:numCache>
                <c:formatCode>General</c:formatCode>
                <c:ptCount val="97"/>
                <c:pt idx="0">
                  <c:v>2.3623228503692238E-4</c:v>
                </c:pt>
                <c:pt idx="1">
                  <c:v>1.1529659589060114E-2</c:v>
                </c:pt>
                <c:pt idx="2">
                  <c:v>2.2823086893083312E-2</c:v>
                </c:pt>
                <c:pt idx="3">
                  <c:v>8.1504987680832822E-2</c:v>
                </c:pt>
                <c:pt idx="4">
                  <c:v>0.14018758123188158</c:v>
                </c:pt>
                <c:pt idx="5">
                  <c:v>0.19843996877410944</c:v>
                </c:pt>
                <c:pt idx="6">
                  <c:v>0.25669304907963653</c:v>
                </c:pt>
                <c:pt idx="7">
                  <c:v>0.26672149059926842</c:v>
                </c:pt>
                <c:pt idx="8">
                  <c:v>0.27675062488219954</c:v>
                </c:pt>
                <c:pt idx="9">
                  <c:v>0.29394085338925585</c:v>
                </c:pt>
                <c:pt idx="10">
                  <c:v>0.31113177465961139</c:v>
                </c:pt>
                <c:pt idx="11">
                  <c:v>0.31711240022185111</c:v>
                </c:pt>
                <c:pt idx="12">
                  <c:v>0.32309302578409088</c:v>
                </c:pt>
                <c:pt idx="13">
                  <c:v>0.34197359674126471</c:v>
                </c:pt>
                <c:pt idx="14">
                  <c:v>0.36085416769843859</c:v>
                </c:pt>
                <c:pt idx="15">
                  <c:v>0.35353304515219164</c:v>
                </c:pt>
                <c:pt idx="16">
                  <c:v>0.34621192260594474</c:v>
                </c:pt>
                <c:pt idx="17">
                  <c:v>0.36239695156582047</c:v>
                </c:pt>
                <c:pt idx="18">
                  <c:v>0.37858267328899542</c:v>
                </c:pt>
                <c:pt idx="19">
                  <c:v>0.47593877801947576</c:v>
                </c:pt>
                <c:pt idx="20">
                  <c:v>0.5732955755132555</c:v>
                </c:pt>
                <c:pt idx="21">
                  <c:v>0.60353815734107608</c:v>
                </c:pt>
                <c:pt idx="22">
                  <c:v>0.63378143193219605</c:v>
                </c:pt>
                <c:pt idx="23">
                  <c:v>0.64052132607039025</c:v>
                </c:pt>
                <c:pt idx="24">
                  <c:v>0.64726122020858434</c:v>
                </c:pt>
                <c:pt idx="25">
                  <c:v>0.62388184438622052</c:v>
                </c:pt>
                <c:pt idx="26">
                  <c:v>0.60050316132715598</c:v>
                </c:pt>
                <c:pt idx="27">
                  <c:v>0.66348435114991766</c:v>
                </c:pt>
                <c:pt idx="28">
                  <c:v>0.72646623373597852</c:v>
                </c:pt>
                <c:pt idx="29">
                  <c:v>0.76852389363214146</c:v>
                </c:pt>
                <c:pt idx="30">
                  <c:v>0.81058848116129667</c:v>
                </c:pt>
                <c:pt idx="31">
                  <c:v>0.81337338962419525</c:v>
                </c:pt>
                <c:pt idx="32">
                  <c:v>0.81615829808709395</c:v>
                </c:pt>
                <c:pt idx="33">
                  <c:v>0.80594003942347336</c:v>
                </c:pt>
                <c:pt idx="34">
                  <c:v>0.79571485312686052</c:v>
                </c:pt>
                <c:pt idx="35">
                  <c:v>0.79939342624576393</c:v>
                </c:pt>
                <c:pt idx="36">
                  <c:v>0.80307199936466733</c:v>
                </c:pt>
                <c:pt idx="37">
                  <c:v>0.77843733644410151</c:v>
                </c:pt>
                <c:pt idx="38">
                  <c:v>0.75380267352353569</c:v>
                </c:pt>
                <c:pt idx="39">
                  <c:v>0.75568698969743719</c:v>
                </c:pt>
                <c:pt idx="40">
                  <c:v>0.75756437823834644</c:v>
                </c:pt>
                <c:pt idx="41">
                  <c:v>0.75218853503633321</c:v>
                </c:pt>
                <c:pt idx="42">
                  <c:v>0.74681269183431997</c:v>
                </c:pt>
                <c:pt idx="43">
                  <c:v>0.73637967654793857</c:v>
                </c:pt>
                <c:pt idx="44">
                  <c:v>0.72594666126155716</c:v>
                </c:pt>
                <c:pt idx="45">
                  <c:v>0.73599172910037047</c:v>
                </c:pt>
                <c:pt idx="46">
                  <c:v>0.74602986930619164</c:v>
                </c:pt>
                <c:pt idx="47">
                  <c:v>0.73465469593285959</c:v>
                </c:pt>
                <c:pt idx="48">
                  <c:v>0.72327952255952743</c:v>
                </c:pt>
                <c:pt idx="49">
                  <c:v>0.7220394762539083</c:v>
                </c:pt>
                <c:pt idx="50">
                  <c:v>0.72079250231529712</c:v>
                </c:pt>
                <c:pt idx="51">
                  <c:v>0.70677790077190428</c:v>
                </c:pt>
                <c:pt idx="52">
                  <c:v>0.69276329922851143</c:v>
                </c:pt>
                <c:pt idx="53">
                  <c:v>0.68006564071695208</c:v>
                </c:pt>
                <c:pt idx="54">
                  <c:v>0.66736798220539262</c:v>
                </c:pt>
                <c:pt idx="55">
                  <c:v>0.66547604563519958</c:v>
                </c:pt>
                <c:pt idx="56">
                  <c:v>0.66358410906500653</c:v>
                </c:pt>
                <c:pt idx="57">
                  <c:v>0.63898269878280367</c:v>
                </c:pt>
                <c:pt idx="58">
                  <c:v>0.6143812885006007</c:v>
                </c:pt>
                <c:pt idx="59">
                  <c:v>0.61895560456540666</c:v>
                </c:pt>
                <c:pt idx="60">
                  <c:v>0.62352992063021251</c:v>
                </c:pt>
                <c:pt idx="61">
                  <c:v>0.62211945455298323</c:v>
                </c:pt>
                <c:pt idx="62">
                  <c:v>0.62070968123905323</c:v>
                </c:pt>
                <c:pt idx="63">
                  <c:v>0.61412704436978394</c:v>
                </c:pt>
                <c:pt idx="64">
                  <c:v>0.60754440750051453</c:v>
                </c:pt>
                <c:pt idx="65">
                  <c:v>0.59226828398922671</c:v>
                </c:pt>
                <c:pt idx="66">
                  <c:v>0.57699285324123806</c:v>
                </c:pt>
                <c:pt idx="67">
                  <c:v>0.57841509629455401</c:v>
                </c:pt>
                <c:pt idx="68">
                  <c:v>0.5798373393478703</c:v>
                </c:pt>
                <c:pt idx="69">
                  <c:v>0.56711681964743632</c:v>
                </c:pt>
                <c:pt idx="70">
                  <c:v>0.55439629994700235</c:v>
                </c:pt>
                <c:pt idx="71">
                  <c:v>0.55504680468497791</c:v>
                </c:pt>
                <c:pt idx="72">
                  <c:v>0.55569730942295359</c:v>
                </c:pt>
                <c:pt idx="73">
                  <c:v>0.56284385561779482</c:v>
                </c:pt>
                <c:pt idx="74">
                  <c:v>0.56999040181263616</c:v>
                </c:pt>
                <c:pt idx="75">
                  <c:v>0.5561573042536414</c:v>
                </c:pt>
                <c:pt idx="76">
                  <c:v>0.54232420669464632</c:v>
                </c:pt>
                <c:pt idx="77">
                  <c:v>0.51266354603817765</c:v>
                </c:pt>
                <c:pt idx="78">
                  <c:v>0.48300357814500811</c:v>
                </c:pt>
                <c:pt idx="79">
                  <c:v>0.48954257092642611</c:v>
                </c:pt>
                <c:pt idx="80">
                  <c:v>0.49608156370784401</c:v>
                </c:pt>
                <c:pt idx="81">
                  <c:v>0.50557172814397533</c:v>
                </c:pt>
                <c:pt idx="82">
                  <c:v>0.5150625853434061</c:v>
                </c:pt>
                <c:pt idx="83">
                  <c:v>0.4709162441000691</c:v>
                </c:pt>
                <c:pt idx="84">
                  <c:v>0.42676990285673216</c:v>
                </c:pt>
                <c:pt idx="85">
                  <c:v>0.45545584555118634</c:v>
                </c:pt>
                <c:pt idx="86">
                  <c:v>0.48414178824564064</c:v>
                </c:pt>
                <c:pt idx="87">
                  <c:v>0.50215848336867652</c:v>
                </c:pt>
                <c:pt idx="88">
                  <c:v>0.52017517849171246</c:v>
                </c:pt>
                <c:pt idx="89">
                  <c:v>0.48036068615845134</c:v>
                </c:pt>
                <c:pt idx="90">
                  <c:v>0.44054688658848962</c:v>
                </c:pt>
                <c:pt idx="91">
                  <c:v>0.38105722379383966</c:v>
                </c:pt>
                <c:pt idx="92">
                  <c:v>0.32156825376248888</c:v>
                </c:pt>
                <c:pt idx="93">
                  <c:v>0.39218577343264643</c:v>
                </c:pt>
                <c:pt idx="94">
                  <c:v>0.46280329310280405</c:v>
                </c:pt>
                <c:pt idx="95">
                  <c:v>0.45094803476310646</c:v>
                </c:pt>
                <c:pt idx="96">
                  <c:v>0.43909277642340899</c:v>
                </c:pt>
              </c:numCache>
            </c:numRef>
          </c:yVal>
          <c:smooth val="0"/>
          <c:extLst>
            <c:ext xmlns:c16="http://schemas.microsoft.com/office/drawing/2014/chart" uri="{C3380CC4-5D6E-409C-BE32-E72D297353CC}">
              <c16:uniqueId val="{00000000-E9DB-45B7-A30B-588CD5D2B0A3}"/>
            </c:ext>
          </c:extLst>
        </c:ser>
        <c:ser>
          <c:idx val="1"/>
          <c:order val="1"/>
          <c:tx>
            <c:strRef>
              <c:f>Toolbox!$AF$11</c:f>
              <c:strCache>
                <c:ptCount val="1"/>
                <c:pt idx="0">
                  <c:v>Weighted</c:v>
                </c:pt>
              </c:strCache>
            </c:strRef>
          </c:tx>
          <c:spPr>
            <a:ln>
              <a:solidFill>
                <a:srgbClr val="FF0000"/>
              </a:solidFill>
              <a:prstDash val="solid"/>
            </a:ln>
          </c:spPr>
          <c:marker>
            <c:symbol val="none"/>
          </c:marker>
          <c:xVal>
            <c:numRef>
              <c:f>Toolbox!$AC$12:$AC$108</c:f>
              <c:numCache>
                <c:formatCode>General</c:formatCode>
                <c:ptCount val="97"/>
                <c:pt idx="0">
                  <c:v>300</c:v>
                </c:pt>
                <c:pt idx="1">
                  <c:v>305</c:v>
                </c:pt>
                <c:pt idx="2">
                  <c:v>310</c:v>
                </c:pt>
                <c:pt idx="3">
                  <c:v>315</c:v>
                </c:pt>
                <c:pt idx="4">
                  <c:v>320</c:v>
                </c:pt>
                <c:pt idx="5">
                  <c:v>325</c:v>
                </c:pt>
                <c:pt idx="6">
                  <c:v>330</c:v>
                </c:pt>
                <c:pt idx="7">
                  <c:v>335</c:v>
                </c:pt>
                <c:pt idx="8">
                  <c:v>340</c:v>
                </c:pt>
                <c:pt idx="9">
                  <c:v>345</c:v>
                </c:pt>
                <c:pt idx="10">
                  <c:v>350</c:v>
                </c:pt>
                <c:pt idx="11">
                  <c:v>355</c:v>
                </c:pt>
                <c:pt idx="12">
                  <c:v>360</c:v>
                </c:pt>
                <c:pt idx="13">
                  <c:v>365</c:v>
                </c:pt>
                <c:pt idx="14">
                  <c:v>370</c:v>
                </c:pt>
                <c:pt idx="15">
                  <c:v>375</c:v>
                </c:pt>
                <c:pt idx="16">
                  <c:v>380</c:v>
                </c:pt>
                <c:pt idx="17">
                  <c:v>385</c:v>
                </c:pt>
                <c:pt idx="18">
                  <c:v>390</c:v>
                </c:pt>
                <c:pt idx="19">
                  <c:v>395</c:v>
                </c:pt>
                <c:pt idx="20">
                  <c:v>400</c:v>
                </c:pt>
                <c:pt idx="21">
                  <c:v>405</c:v>
                </c:pt>
                <c:pt idx="22">
                  <c:v>410</c:v>
                </c:pt>
                <c:pt idx="23">
                  <c:v>415</c:v>
                </c:pt>
                <c:pt idx="24">
                  <c:v>420</c:v>
                </c:pt>
                <c:pt idx="25">
                  <c:v>425</c:v>
                </c:pt>
                <c:pt idx="26">
                  <c:v>430</c:v>
                </c:pt>
                <c:pt idx="27">
                  <c:v>435</c:v>
                </c:pt>
                <c:pt idx="28">
                  <c:v>440</c:v>
                </c:pt>
                <c:pt idx="29">
                  <c:v>445</c:v>
                </c:pt>
                <c:pt idx="30">
                  <c:v>450</c:v>
                </c:pt>
                <c:pt idx="31">
                  <c:v>455</c:v>
                </c:pt>
                <c:pt idx="32">
                  <c:v>460</c:v>
                </c:pt>
                <c:pt idx="33">
                  <c:v>465</c:v>
                </c:pt>
                <c:pt idx="34">
                  <c:v>470</c:v>
                </c:pt>
                <c:pt idx="35">
                  <c:v>475</c:v>
                </c:pt>
                <c:pt idx="36">
                  <c:v>480</c:v>
                </c:pt>
                <c:pt idx="37">
                  <c:v>485</c:v>
                </c:pt>
                <c:pt idx="38">
                  <c:v>490</c:v>
                </c:pt>
                <c:pt idx="39">
                  <c:v>495</c:v>
                </c:pt>
                <c:pt idx="40">
                  <c:v>500</c:v>
                </c:pt>
                <c:pt idx="41">
                  <c:v>505</c:v>
                </c:pt>
                <c:pt idx="42">
                  <c:v>510</c:v>
                </c:pt>
                <c:pt idx="43">
                  <c:v>515</c:v>
                </c:pt>
                <c:pt idx="44">
                  <c:v>520</c:v>
                </c:pt>
                <c:pt idx="45">
                  <c:v>525</c:v>
                </c:pt>
                <c:pt idx="46">
                  <c:v>530</c:v>
                </c:pt>
                <c:pt idx="47">
                  <c:v>535</c:v>
                </c:pt>
                <c:pt idx="48">
                  <c:v>540</c:v>
                </c:pt>
                <c:pt idx="49">
                  <c:v>545</c:v>
                </c:pt>
                <c:pt idx="50">
                  <c:v>550</c:v>
                </c:pt>
                <c:pt idx="51">
                  <c:v>555</c:v>
                </c:pt>
                <c:pt idx="52">
                  <c:v>560</c:v>
                </c:pt>
                <c:pt idx="53">
                  <c:v>565</c:v>
                </c:pt>
                <c:pt idx="54">
                  <c:v>570</c:v>
                </c:pt>
                <c:pt idx="55">
                  <c:v>575</c:v>
                </c:pt>
                <c:pt idx="56">
                  <c:v>580</c:v>
                </c:pt>
                <c:pt idx="57">
                  <c:v>585</c:v>
                </c:pt>
                <c:pt idx="58">
                  <c:v>590</c:v>
                </c:pt>
                <c:pt idx="59">
                  <c:v>595</c:v>
                </c:pt>
                <c:pt idx="60">
                  <c:v>600</c:v>
                </c:pt>
                <c:pt idx="61">
                  <c:v>605</c:v>
                </c:pt>
                <c:pt idx="62">
                  <c:v>610</c:v>
                </c:pt>
                <c:pt idx="63">
                  <c:v>615</c:v>
                </c:pt>
                <c:pt idx="64">
                  <c:v>620</c:v>
                </c:pt>
                <c:pt idx="65">
                  <c:v>625</c:v>
                </c:pt>
                <c:pt idx="66">
                  <c:v>630</c:v>
                </c:pt>
                <c:pt idx="67">
                  <c:v>635</c:v>
                </c:pt>
                <c:pt idx="68">
                  <c:v>640</c:v>
                </c:pt>
                <c:pt idx="69">
                  <c:v>645</c:v>
                </c:pt>
                <c:pt idx="70">
                  <c:v>650</c:v>
                </c:pt>
                <c:pt idx="71">
                  <c:v>655</c:v>
                </c:pt>
                <c:pt idx="72">
                  <c:v>660</c:v>
                </c:pt>
                <c:pt idx="73">
                  <c:v>665</c:v>
                </c:pt>
                <c:pt idx="74">
                  <c:v>670</c:v>
                </c:pt>
                <c:pt idx="75">
                  <c:v>675</c:v>
                </c:pt>
                <c:pt idx="76">
                  <c:v>680</c:v>
                </c:pt>
                <c:pt idx="77">
                  <c:v>685</c:v>
                </c:pt>
                <c:pt idx="78">
                  <c:v>690</c:v>
                </c:pt>
                <c:pt idx="79">
                  <c:v>695</c:v>
                </c:pt>
                <c:pt idx="80">
                  <c:v>700</c:v>
                </c:pt>
                <c:pt idx="81">
                  <c:v>705</c:v>
                </c:pt>
                <c:pt idx="82">
                  <c:v>710</c:v>
                </c:pt>
                <c:pt idx="83">
                  <c:v>715</c:v>
                </c:pt>
                <c:pt idx="84">
                  <c:v>720</c:v>
                </c:pt>
                <c:pt idx="85">
                  <c:v>725</c:v>
                </c:pt>
                <c:pt idx="86">
                  <c:v>730</c:v>
                </c:pt>
                <c:pt idx="87">
                  <c:v>735</c:v>
                </c:pt>
                <c:pt idx="88">
                  <c:v>740</c:v>
                </c:pt>
                <c:pt idx="89">
                  <c:v>745</c:v>
                </c:pt>
                <c:pt idx="90">
                  <c:v>750</c:v>
                </c:pt>
                <c:pt idx="91">
                  <c:v>755</c:v>
                </c:pt>
                <c:pt idx="92">
                  <c:v>760</c:v>
                </c:pt>
                <c:pt idx="93">
                  <c:v>765</c:v>
                </c:pt>
                <c:pt idx="94">
                  <c:v>770</c:v>
                </c:pt>
                <c:pt idx="95">
                  <c:v>775</c:v>
                </c:pt>
                <c:pt idx="96">
                  <c:v>780</c:v>
                </c:pt>
              </c:numCache>
            </c:numRef>
          </c:xVal>
          <c:yVal>
            <c:numRef>
              <c:f>Toolbox!$AF$12:$AF$108</c:f>
              <c:numCache>
                <c:formatCode>General</c:formatCode>
                <c:ptCount val="97"/>
                <c:pt idx="0">
                  <c:v>0</c:v>
                </c:pt>
                <c:pt idx="1">
                  <c:v>0</c:v>
                </c:pt>
                <c:pt idx="2">
                  <c:v>2.43913361355792E-4</c:v>
                </c:pt>
                <c:pt idx="3">
                  <c:v>2.8902287124428091E-3</c:v>
                </c:pt>
                <c:pt idx="4">
                  <c:v>7.8139027384867363E-3</c:v>
                </c:pt>
                <c:pt idx="5">
                  <c:v>1.4454113501818359E-2</c:v>
                </c:pt>
                <c:pt idx="6">
                  <c:v>2.2473291685350033E-2</c:v>
                </c:pt>
                <c:pt idx="7">
                  <c:v>2.6641099387155774E-2</c:v>
                </c:pt>
                <c:pt idx="8">
                  <c:v>3.0469875848246619E-2</c:v>
                </c:pt>
                <c:pt idx="9">
                  <c:v>3.498061191221042E-2</c:v>
                </c:pt>
                <c:pt idx="10">
                  <c:v>3.9414306417289227E-2</c:v>
                </c:pt>
                <c:pt idx="11">
                  <c:v>4.2109696792116694E-2</c:v>
                </c:pt>
                <c:pt idx="12">
                  <c:v>4.4263913204859194E-2</c:v>
                </c:pt>
                <c:pt idx="13">
                  <c:v>4.7760307483123862E-2</c:v>
                </c:pt>
                <c:pt idx="14">
                  <c:v>5.114747854978749E-2</c:v>
                </c:pt>
                <c:pt idx="15">
                  <c:v>5.1090940664202091E-2</c:v>
                </c:pt>
                <c:pt idx="16">
                  <c:v>5.1580311411694627E-2</c:v>
                </c:pt>
                <c:pt idx="17">
                  <c:v>5.6450033703852279E-2</c:v>
                </c:pt>
                <c:pt idx="18">
                  <c:v>6.2861608828687895E-2</c:v>
                </c:pt>
                <c:pt idx="19">
                  <c:v>8.616309494637181E-2</c:v>
                </c:pt>
                <c:pt idx="20">
                  <c:v>0.11546250202207374</c:v>
                </c:pt>
                <c:pt idx="21">
                  <c:v>0.13740821617513851</c:v>
                </c:pt>
                <c:pt idx="22">
                  <c:v>0.1649457925042889</c:v>
                </c:pt>
                <c:pt idx="23">
                  <c:v>0.19176294791695483</c:v>
                </c:pt>
                <c:pt idx="24">
                  <c:v>0.22327700743713327</c:v>
                </c:pt>
                <c:pt idx="25">
                  <c:v>0.24738164835328544</c:v>
                </c:pt>
                <c:pt idx="26">
                  <c:v>0.27243813003042766</c:v>
                </c:pt>
                <c:pt idx="27">
                  <c:v>0.34219979745700108</c:v>
                </c:pt>
                <c:pt idx="28">
                  <c:v>0.42204824582505368</c:v>
                </c:pt>
                <c:pt idx="29">
                  <c:v>0.49752209630976224</c:v>
                </c:pt>
                <c:pt idx="30">
                  <c:v>0.57820055403132364</c:v>
                </c:pt>
                <c:pt idx="31">
                  <c:v>0.6322574195049252</c:v>
                </c:pt>
                <c:pt idx="32">
                  <c:v>0.68364258404356193</c:v>
                </c:pt>
                <c:pt idx="33">
                  <c:v>0.71868133321270866</c:v>
                </c:pt>
                <c:pt idx="34">
                  <c:v>0.74606096155350332</c:v>
                </c:pt>
                <c:pt idx="35">
                  <c:v>0.77778273180730428</c:v>
                </c:pt>
                <c:pt idx="36">
                  <c:v>0.79849320054361428</c:v>
                </c:pt>
                <c:pt idx="37">
                  <c:v>0.77843733644410151</c:v>
                </c:pt>
                <c:pt idx="38">
                  <c:v>0.74645608773195493</c:v>
                </c:pt>
                <c:pt idx="39">
                  <c:v>0.72946640589499123</c:v>
                </c:pt>
                <c:pt idx="40">
                  <c:v>0.70035462780402291</c:v>
                </c:pt>
                <c:pt idx="41">
                  <c:v>0.65202250962048125</c:v>
                </c:pt>
                <c:pt idx="42">
                  <c:v>0.59411438503173142</c:v>
                </c:pt>
                <c:pt idx="43">
                  <c:v>0.52660999941295361</c:v>
                </c:pt>
                <c:pt idx="44">
                  <c:v>0.45686923935139889</c:v>
                </c:pt>
                <c:pt idx="45">
                  <c:v>0.39883865931919449</c:v>
                </c:pt>
                <c:pt idx="46">
                  <c:v>0.3403943049504114</c:v>
                </c:pt>
                <c:pt idx="47">
                  <c:v>0.27578113826435896</c:v>
                </c:pt>
                <c:pt idx="48">
                  <c:v>0.21808249016186143</c:v>
                </c:pt>
                <c:pt idx="49">
                  <c:v>0.17055947135827959</c:v>
                </c:pt>
                <c:pt idx="50">
                  <c:v>0.12989841577178141</c:v>
                </c:pt>
                <c:pt idx="51">
                  <c:v>9.4526721724828816E-2</c:v>
                </c:pt>
                <c:pt idx="52">
                  <c:v>6.6924564892856711E-2</c:v>
                </c:pt>
                <c:pt idx="53">
                  <c:v>4.6278611924167538E-2</c:v>
                </c:pt>
                <c:pt idx="54">
                  <c:v>3.1296202083031667E-2</c:v>
                </c:pt>
                <c:pt idx="55">
                  <c:v>2.1115796774326057E-2</c:v>
                </c:pt>
                <c:pt idx="56">
                  <c:v>1.4041600989302275E-2</c:v>
                </c:pt>
                <c:pt idx="57">
                  <c:v>8.9185879145317476E-3</c:v>
                </c:pt>
                <c:pt idx="58">
                  <c:v>5.6154258307450494E-3</c:v>
                </c:pt>
                <c:pt idx="59">
                  <c:v>3.6906045184979157E-3</c:v>
                </c:pt>
                <c:pt idx="60">
                  <c:v>2.4226705447261167E-3</c:v>
                </c:pt>
                <c:pt idx="61">
                  <c:v>1.5759956339199022E-3</c:v>
                </c:pt>
                <c:pt idx="62">
                  <c:v>1.0273834250936931E-3</c:v>
                </c:pt>
                <c:pt idx="63">
                  <c:v>6.657842892315043E-4</c:v>
                </c:pt>
                <c:pt idx="64">
                  <c:v>4.3261747559277918E-4</c:v>
                </c:pt>
                <c:pt idx="65">
                  <c:v>2.783956034088979E-4</c:v>
                </c:pt>
                <c:pt idx="66">
                  <c:v>1.8004085454184773E-4</c:v>
                </c:pt>
                <c:pt idx="67">
                  <c:v>1.2032309427726061E-4</c:v>
                </c:pt>
                <c:pt idx="68">
                  <c:v>8.1185833207021772E-5</c:v>
                </c:pt>
                <c:pt idx="69">
                  <c:v>5.3314632397893185E-5</c:v>
                </c:pt>
                <c:pt idx="70">
                  <c:v>3.5485124619817846E-5</c:v>
                </c:pt>
                <c:pt idx="71">
                  <c:v>2.4424648418871427E-5</c:v>
                </c:pt>
                <c:pt idx="72">
                  <c:v>1.6672686587466882E-5</c:v>
                </c:pt>
                <c:pt idx="73">
                  <c:v>1.1820973991216761E-5</c:v>
                </c:pt>
                <c:pt idx="74">
                  <c:v>7.980711580804471E-6</c:v>
                </c:pt>
                <c:pt idx="75">
                  <c:v>5.5621626317753828E-6</c:v>
                </c:pt>
                <c:pt idx="76">
                  <c:v>3.7966718940832971E-6</c:v>
                </c:pt>
                <c:pt idx="77">
                  <c:v>2.5635894706747799E-6</c:v>
                </c:pt>
                <c:pt idx="78">
                  <c:v>1.4491643458556852E-6</c:v>
                </c:pt>
                <c:pt idx="79">
                  <c:v>9.7918893588005545E-7</c:v>
                </c:pt>
                <c:pt idx="80">
                  <c:v>9.922683078563208E-7</c:v>
                </c:pt>
                <c:pt idx="81">
                  <c:v>5.0562532442836472E-7</c:v>
                </c:pt>
                <c:pt idx="82">
                  <c:v>5.1511718776530923E-7</c:v>
                </c:pt>
                <c:pt idx="83">
                  <c:v>4.7096616651371956E-7</c:v>
                </c:pt>
                <c:pt idx="84">
                  <c:v>0</c:v>
                </c:pt>
                <c:pt idx="85">
                  <c:v>0</c:v>
                </c:pt>
                <c:pt idx="86">
                  <c:v>0</c:v>
                </c:pt>
                <c:pt idx="87">
                  <c:v>0</c:v>
                </c:pt>
                <c:pt idx="88">
                  <c:v>0</c:v>
                </c:pt>
                <c:pt idx="89">
                  <c:v>0</c:v>
                </c:pt>
                <c:pt idx="90">
                  <c:v>0</c:v>
                </c:pt>
                <c:pt idx="91">
                  <c:v>0</c:v>
                </c:pt>
                <c:pt idx="92">
                  <c:v>0</c:v>
                </c:pt>
                <c:pt idx="93">
                  <c:v>0</c:v>
                </c:pt>
                <c:pt idx="94">
                  <c:v>0</c:v>
                </c:pt>
                <c:pt idx="95">
                  <c:v>0</c:v>
                </c:pt>
                <c:pt idx="96">
                  <c:v>0</c:v>
                </c:pt>
              </c:numCache>
            </c:numRef>
          </c:yVal>
          <c:smooth val="0"/>
          <c:extLst>
            <c:ext xmlns:c16="http://schemas.microsoft.com/office/drawing/2014/chart" uri="{C3380CC4-5D6E-409C-BE32-E72D297353CC}">
              <c16:uniqueId val="{00000001-E9DB-45B7-A30B-588CD5D2B0A3}"/>
            </c:ext>
          </c:extLst>
        </c:ser>
        <c:dLbls>
          <c:showLegendKey val="0"/>
          <c:showVal val="0"/>
          <c:showCatName val="0"/>
          <c:showSerName val="0"/>
          <c:showPercent val="0"/>
          <c:showBubbleSize val="0"/>
        </c:dLbls>
        <c:axId val="322515008"/>
        <c:axId val="322516184"/>
      </c:scatterChart>
      <c:valAx>
        <c:axId val="322515008"/>
        <c:scaling>
          <c:orientation val="minMax"/>
          <c:max val="780"/>
          <c:min val="300"/>
        </c:scaling>
        <c:delete val="0"/>
        <c:axPos val="b"/>
        <c:title>
          <c:tx>
            <c:rich>
              <a:bodyPr/>
              <a:lstStyle/>
              <a:p>
                <a:pPr>
                  <a:defRPr sz="1600" b="1" i="0" u="none" strike="noStrike" baseline="0">
                    <a:solidFill>
                      <a:srgbClr val="000000"/>
                    </a:solidFill>
                    <a:latin typeface="Calibri"/>
                    <a:ea typeface="Calibri"/>
                    <a:cs typeface="Calibri"/>
                  </a:defRPr>
                </a:pPr>
                <a:r>
                  <a:rPr lang="en-GB"/>
                  <a:t>wavelength (nm)</a:t>
                </a:r>
              </a:p>
            </c:rich>
          </c:tx>
          <c:layout>
            <c:manualLayout>
              <c:xMode val="edge"/>
              <c:yMode val="edge"/>
              <c:x val="0.38887451170514609"/>
              <c:y val="0.88351115274577818"/>
            </c:manualLayout>
          </c:layout>
          <c:overlay val="0"/>
          <c:spPr>
            <a:noFill/>
            <a:ln w="25400">
              <a:noFill/>
            </a:ln>
          </c:spPr>
        </c:title>
        <c:numFmt formatCode="General" sourceLinked="1"/>
        <c:majorTickMark val="out"/>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322516184"/>
        <c:crosses val="autoZero"/>
        <c:crossBetween val="midCat"/>
        <c:majorUnit val="50"/>
      </c:valAx>
      <c:valAx>
        <c:axId val="322516184"/>
        <c:scaling>
          <c:orientation val="minMax"/>
          <c:min val="0"/>
        </c:scaling>
        <c:delete val="0"/>
        <c:axPos val="l"/>
        <c:title>
          <c:tx>
            <c:rich>
              <a:bodyPr/>
              <a:lstStyle/>
              <a:p>
                <a:pPr>
                  <a:defRPr sz="1100" b="0" i="0" u="none" strike="noStrike" baseline="0">
                    <a:solidFill>
                      <a:srgbClr val="000000"/>
                    </a:solidFill>
                    <a:latin typeface="Calibri"/>
                    <a:ea typeface="Calibri"/>
                    <a:cs typeface="Calibri"/>
                  </a:defRPr>
                </a:pPr>
                <a:r>
                  <a:rPr lang="el-GR" sz="1600" b="1" i="0" u="none" strike="noStrike" baseline="0">
                    <a:solidFill>
                      <a:srgbClr val="000000"/>
                    </a:solidFill>
                    <a:latin typeface="Calibri"/>
                    <a:cs typeface="Calibri"/>
                  </a:rPr>
                  <a:t>μ</a:t>
                </a:r>
                <a:r>
                  <a:rPr lang="en-GB" sz="1600" b="1" i="0" u="none" strike="noStrike" baseline="0">
                    <a:solidFill>
                      <a:srgbClr val="000000"/>
                    </a:solidFill>
                    <a:latin typeface="Calibri"/>
                    <a:cs typeface="Calibri"/>
                  </a:rPr>
                  <a:t>W.cm</a:t>
                </a:r>
                <a:r>
                  <a:rPr lang="en-GB" sz="1600" b="1" i="0" u="none" strike="noStrike" baseline="30000">
                    <a:solidFill>
                      <a:srgbClr val="000000"/>
                    </a:solidFill>
                    <a:latin typeface="Calibri"/>
                    <a:cs typeface="Calibri"/>
                  </a:rPr>
                  <a:t>-2</a:t>
                </a:r>
                <a:r>
                  <a:rPr lang="en-GB" sz="1600" b="1" i="0" u="none" strike="noStrike" baseline="0">
                    <a:solidFill>
                      <a:srgbClr val="000000"/>
                    </a:solidFill>
                    <a:latin typeface="Calibri"/>
                    <a:cs typeface="Calibri"/>
                  </a:rPr>
                  <a:t>.nm</a:t>
                </a:r>
                <a:r>
                  <a:rPr lang="en-GB" sz="1600" b="1" i="0" u="none" strike="noStrike" baseline="30000">
                    <a:solidFill>
                      <a:srgbClr val="000000"/>
                    </a:solidFill>
                    <a:latin typeface="Calibri"/>
                    <a:cs typeface="Calibri"/>
                  </a:rPr>
                  <a:t>-1</a:t>
                </a:r>
              </a:p>
            </c:rich>
          </c:tx>
          <c:layout>
            <c:manualLayout>
              <c:xMode val="edge"/>
              <c:yMode val="edge"/>
              <c:x val="2.0056951479791151E-2"/>
              <c:y val="0.29124000978977332"/>
            </c:manualLayout>
          </c:layout>
          <c:overlay val="0"/>
          <c:spPr>
            <a:noFill/>
            <a:ln w="25400">
              <a:noFill/>
            </a:ln>
          </c:spPr>
        </c:title>
        <c:numFmt formatCode="#,##0.0" sourceLinked="0"/>
        <c:majorTickMark val="out"/>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322515008"/>
        <c:crosses val="autoZero"/>
        <c:crossBetween val="midCat"/>
      </c:valAx>
    </c:plotArea>
    <c:plotVisOnly val="1"/>
    <c:dispBlanksAs val="gap"/>
    <c:showDLblsOverMax val="0"/>
  </c:chart>
  <c:spPr>
    <a:ln>
      <a:solidFill>
        <a:schemeClr val="tx1"/>
      </a:solidFill>
    </a:ln>
    <a:effectLst>
      <a:outerShdw blurRad="50800" dist="38100" algn="l" rotWithShape="0">
        <a:prstClr val="black">
          <a:alpha val="40000"/>
        </a:prstClr>
      </a:outerShdw>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555" l="0.70000000000000062" r="0.70000000000000062" t="0.750000000000005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Calibri"/>
                <a:ea typeface="Calibri"/>
                <a:cs typeface="Calibri"/>
              </a:defRPr>
            </a:pPr>
            <a:r>
              <a:rPr lang="en-GB"/>
              <a:t>Rodent retinal photopigment sensitivity</a:t>
            </a:r>
          </a:p>
        </c:rich>
      </c:tx>
      <c:overlay val="0"/>
      <c:spPr>
        <a:noFill/>
        <a:ln w="25400">
          <a:noFill/>
        </a:ln>
      </c:spPr>
    </c:title>
    <c:autoTitleDeleted val="0"/>
    <c:plotArea>
      <c:layout>
        <c:manualLayout>
          <c:layoutTarget val="inner"/>
          <c:xMode val="edge"/>
          <c:yMode val="edge"/>
          <c:x val="0.17737776464235477"/>
          <c:y val="0.15881335217938719"/>
          <c:w val="0.79104425872141471"/>
          <c:h val="0.71396241840258989"/>
        </c:manualLayout>
      </c:layout>
      <c:barChart>
        <c:barDir val="col"/>
        <c:grouping val="clustered"/>
        <c:varyColors val="0"/>
        <c:ser>
          <c:idx val="0"/>
          <c:order val="0"/>
          <c:spPr>
            <a:solidFill>
              <a:srgbClr val="FF0000"/>
            </a:solidFill>
            <a:ln>
              <a:solidFill>
                <a:schemeClr val="tx1"/>
              </a:solidFill>
            </a:ln>
          </c:spPr>
          <c:invertIfNegative val="0"/>
          <c:dPt>
            <c:idx val="0"/>
            <c:invertIfNegative val="0"/>
            <c:bubble3D val="0"/>
            <c:spPr>
              <a:solidFill>
                <a:srgbClr val="9900CC"/>
              </a:solidFill>
              <a:ln>
                <a:solidFill>
                  <a:schemeClr val="tx1"/>
                </a:solidFill>
              </a:ln>
            </c:spPr>
            <c:extLst>
              <c:ext xmlns:c16="http://schemas.microsoft.com/office/drawing/2014/chart" uri="{C3380CC4-5D6E-409C-BE32-E72D297353CC}">
                <c16:uniqueId val="{00000001-40F4-4282-8C5E-D39CD793EF9F}"/>
              </c:ext>
            </c:extLst>
          </c:dPt>
          <c:dPt>
            <c:idx val="1"/>
            <c:invertIfNegative val="0"/>
            <c:bubble3D val="0"/>
            <c:spPr>
              <a:solidFill>
                <a:schemeClr val="bg1"/>
              </a:solidFill>
              <a:ln>
                <a:solidFill>
                  <a:schemeClr val="tx1"/>
                </a:solidFill>
              </a:ln>
            </c:spPr>
            <c:extLst>
              <c:ext xmlns:c16="http://schemas.microsoft.com/office/drawing/2014/chart" uri="{C3380CC4-5D6E-409C-BE32-E72D297353CC}">
                <c16:uniqueId val="{00000003-40F4-4282-8C5E-D39CD793EF9F}"/>
              </c:ext>
            </c:extLst>
          </c:dPt>
          <c:dPt>
            <c:idx val="2"/>
            <c:invertIfNegative val="0"/>
            <c:bubble3D val="0"/>
            <c:spPr>
              <a:solidFill>
                <a:schemeClr val="tx1"/>
              </a:solidFill>
              <a:ln>
                <a:solidFill>
                  <a:schemeClr val="tx1"/>
                </a:solidFill>
              </a:ln>
            </c:spPr>
            <c:extLst>
              <c:ext xmlns:c16="http://schemas.microsoft.com/office/drawing/2014/chart" uri="{C3380CC4-5D6E-409C-BE32-E72D297353CC}">
                <c16:uniqueId val="{00000005-40F4-4282-8C5E-D39CD793EF9F}"/>
              </c:ext>
            </c:extLst>
          </c:dPt>
          <c:dPt>
            <c:idx val="3"/>
            <c:invertIfNegative val="0"/>
            <c:bubble3D val="0"/>
            <c:spPr>
              <a:solidFill>
                <a:srgbClr val="00FF00"/>
              </a:solidFill>
              <a:ln>
                <a:solidFill>
                  <a:schemeClr val="tx1"/>
                </a:solidFill>
              </a:ln>
            </c:spPr>
            <c:extLst>
              <c:ext xmlns:c16="http://schemas.microsoft.com/office/drawing/2014/chart" uri="{C3380CC4-5D6E-409C-BE32-E72D297353CC}">
                <c16:uniqueId val="{00000007-40F4-4282-8C5E-D39CD793EF9F}"/>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0F4-4282-8C5E-D39CD793EF9F}"/>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0F4-4282-8C5E-D39CD793EF9F}"/>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0F4-4282-8C5E-D39CD793EF9F}"/>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0F4-4282-8C5E-D39CD793EF9F}"/>
                </c:ext>
              </c:extLst>
            </c:dLbl>
            <c:numFmt formatCode="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Toolbox!$F$27:$F$30</c:f>
              <c:strCache>
                <c:ptCount val="4"/>
                <c:pt idx="0">
                  <c:v>sc</c:v>
                </c:pt>
                <c:pt idx="1">
                  <c:v>z</c:v>
                </c:pt>
                <c:pt idx="2">
                  <c:v>r</c:v>
                </c:pt>
                <c:pt idx="3">
                  <c:v>mc</c:v>
                </c:pt>
              </c:strCache>
            </c:strRef>
          </c:cat>
          <c:val>
            <c:numRef>
              <c:f>Toolbox!$I$27:$I$30</c:f>
              <c:numCache>
                <c:formatCode>#,##0.00</c:formatCode>
                <c:ptCount val="4"/>
                <c:pt idx="0">
                  <c:v>100.00000000000003</c:v>
                </c:pt>
                <c:pt idx="1">
                  <c:v>99.999999999999957</c:v>
                </c:pt>
                <c:pt idx="2">
                  <c:v>99.999999999999915</c:v>
                </c:pt>
                <c:pt idx="3">
                  <c:v>99.999999999999957</c:v>
                </c:pt>
              </c:numCache>
            </c:numRef>
          </c:val>
          <c:extLst>
            <c:ext xmlns:c16="http://schemas.microsoft.com/office/drawing/2014/chart" uri="{C3380CC4-5D6E-409C-BE32-E72D297353CC}">
              <c16:uniqueId val="{00000008-40F4-4282-8C5E-D39CD793EF9F}"/>
            </c:ext>
          </c:extLst>
        </c:ser>
        <c:dLbls>
          <c:showLegendKey val="0"/>
          <c:showVal val="0"/>
          <c:showCatName val="0"/>
          <c:showSerName val="0"/>
          <c:showPercent val="0"/>
          <c:showBubbleSize val="0"/>
        </c:dLbls>
        <c:gapWidth val="150"/>
        <c:axId val="322515792"/>
        <c:axId val="322516968"/>
      </c:barChart>
      <c:catAx>
        <c:axId val="322515792"/>
        <c:scaling>
          <c:orientation val="minMax"/>
        </c:scaling>
        <c:delete val="0"/>
        <c:axPos val="b"/>
        <c:numFmt formatCode="General" sourceLinked="1"/>
        <c:majorTickMark val="out"/>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322516968"/>
        <c:crosses val="autoZero"/>
        <c:auto val="1"/>
        <c:lblAlgn val="ctr"/>
        <c:lblOffset val="100"/>
        <c:noMultiLvlLbl val="0"/>
      </c:catAx>
      <c:valAx>
        <c:axId val="322516968"/>
        <c:scaling>
          <c:orientation val="minMax"/>
          <c:min val="0"/>
        </c:scaling>
        <c:delete val="0"/>
        <c:axPos val="l"/>
        <c:title>
          <c:tx>
            <c:rich>
              <a:bodyPr/>
              <a:lstStyle/>
              <a:p>
                <a:pPr>
                  <a:defRPr sz="1100" b="0" i="0" u="none" strike="noStrike" baseline="0">
                    <a:solidFill>
                      <a:srgbClr val="000000"/>
                    </a:solidFill>
                    <a:latin typeface="Calibri"/>
                    <a:ea typeface="Calibri"/>
                    <a:cs typeface="Calibri"/>
                  </a:defRPr>
                </a:pPr>
                <a:r>
                  <a:rPr lang="en-GB" sz="1600" b="1" i="0" u="none" strike="noStrike" baseline="0">
                    <a:solidFill>
                      <a:srgbClr val="000000"/>
                    </a:solidFill>
                    <a:latin typeface="Calibri"/>
                    <a:cs typeface="Calibri"/>
                  </a:rPr>
                  <a:t>Effective Quanta</a:t>
                </a:r>
              </a:p>
            </c:rich>
          </c:tx>
          <c:layout>
            <c:manualLayout>
              <c:xMode val="edge"/>
              <c:yMode val="edge"/>
              <c:x val="5.6973988627160958E-3"/>
              <c:y val="0.26884801422967441"/>
            </c:manualLayout>
          </c:layout>
          <c:overlay val="0"/>
          <c:spPr>
            <a:noFill/>
            <a:ln w="25400">
              <a:noFill/>
            </a:ln>
          </c:spPr>
        </c:title>
        <c:numFmt formatCode="0.0" sourceLinked="0"/>
        <c:majorTickMark val="out"/>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322515792"/>
        <c:crosses val="autoZero"/>
        <c:crossBetween val="between"/>
      </c:valAx>
    </c:plotArea>
    <c:plotVisOnly val="1"/>
    <c:dispBlanksAs val="gap"/>
    <c:showDLblsOverMax val="0"/>
  </c:chart>
  <c:spPr>
    <a:solidFill>
      <a:schemeClr val="bg1"/>
    </a:solidFill>
    <a:ln>
      <a:solidFill>
        <a:schemeClr val="tx1"/>
      </a:solidFill>
    </a:ln>
    <a:effectLst>
      <a:outerShdw blurRad="50800" dist="38100" dir="2700000" algn="tl" rotWithShape="0">
        <a:prstClr val="black">
          <a:alpha val="40000"/>
        </a:prstClr>
      </a:outerShdw>
    </a:effectLst>
  </c:spPr>
  <c:txPr>
    <a:bodyPr/>
    <a:lstStyle/>
    <a:p>
      <a:pPr>
        <a:defRPr sz="1400" b="0" i="0" u="none" strike="noStrike" baseline="0">
          <a:solidFill>
            <a:srgbClr val="000000"/>
          </a:solidFill>
          <a:latin typeface="Calibri"/>
          <a:ea typeface="Calibri"/>
          <a:cs typeface="Calibri"/>
        </a:defRPr>
      </a:pPr>
      <a:endParaRPr lang="en-US"/>
    </a:p>
  </c:txPr>
  <c:printSettings>
    <c:headerFooter/>
    <c:pageMargins b="0.75000000000000289" l="0.70000000000000062" r="0.70000000000000062" t="0.7500000000000028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Calibri"/>
                <a:ea typeface="Calibri"/>
                <a:cs typeface="Calibri"/>
              </a:defRPr>
            </a:pPr>
            <a:r>
              <a:rPr lang="en-GB"/>
              <a:t>Probability normalised sensitivity curves</a:t>
            </a:r>
          </a:p>
        </c:rich>
      </c:tx>
      <c:overlay val="0"/>
      <c:spPr>
        <a:noFill/>
        <a:ln w="25400">
          <a:noFill/>
        </a:ln>
      </c:spPr>
    </c:title>
    <c:autoTitleDeleted val="0"/>
    <c:plotArea>
      <c:layout/>
      <c:scatterChart>
        <c:scatterStyle val="lineMarker"/>
        <c:varyColors val="0"/>
        <c:ser>
          <c:idx val="4"/>
          <c:order val="0"/>
          <c:tx>
            <c:strRef>
              <c:f>Calculations!$I$21</c:f>
              <c:strCache>
                <c:ptCount val="1"/>
                <c:pt idx="0">
                  <c:v>S cone</c:v>
                </c:pt>
              </c:strCache>
            </c:strRef>
          </c:tx>
          <c:spPr>
            <a:ln>
              <a:solidFill>
                <a:srgbClr val="9900CC"/>
              </a:solidFill>
              <a:prstDash val="solid"/>
            </a:ln>
          </c:spPr>
          <c:marker>
            <c:symbol val="none"/>
          </c:marker>
          <c:xVal>
            <c:numRef>
              <c:f>Calculations!$H$22:$H$118</c:f>
              <c:numCache>
                <c:formatCode>General</c:formatCode>
                <c:ptCount val="97"/>
                <c:pt idx="0">
                  <c:v>300</c:v>
                </c:pt>
                <c:pt idx="1">
                  <c:v>305</c:v>
                </c:pt>
                <c:pt idx="2">
                  <c:v>310</c:v>
                </c:pt>
                <c:pt idx="3">
                  <c:v>315</c:v>
                </c:pt>
                <c:pt idx="4">
                  <c:v>320</c:v>
                </c:pt>
                <c:pt idx="5">
                  <c:v>325</c:v>
                </c:pt>
                <c:pt idx="6">
                  <c:v>330</c:v>
                </c:pt>
                <c:pt idx="7">
                  <c:v>335</c:v>
                </c:pt>
                <c:pt idx="8">
                  <c:v>340</c:v>
                </c:pt>
                <c:pt idx="9">
                  <c:v>345</c:v>
                </c:pt>
                <c:pt idx="10">
                  <c:v>350</c:v>
                </c:pt>
                <c:pt idx="11">
                  <c:v>355</c:v>
                </c:pt>
                <c:pt idx="12">
                  <c:v>360</c:v>
                </c:pt>
                <c:pt idx="13">
                  <c:v>365</c:v>
                </c:pt>
                <c:pt idx="14">
                  <c:v>370</c:v>
                </c:pt>
                <c:pt idx="15">
                  <c:v>375</c:v>
                </c:pt>
                <c:pt idx="16">
                  <c:v>380</c:v>
                </c:pt>
                <c:pt idx="17">
                  <c:v>385</c:v>
                </c:pt>
                <c:pt idx="18">
                  <c:v>390</c:v>
                </c:pt>
                <c:pt idx="19">
                  <c:v>395</c:v>
                </c:pt>
                <c:pt idx="20">
                  <c:v>400</c:v>
                </c:pt>
                <c:pt idx="21">
                  <c:v>405</c:v>
                </c:pt>
                <c:pt idx="22">
                  <c:v>410</c:v>
                </c:pt>
                <c:pt idx="23">
                  <c:v>415</c:v>
                </c:pt>
                <c:pt idx="24">
                  <c:v>420</c:v>
                </c:pt>
                <c:pt idx="25">
                  <c:v>425</c:v>
                </c:pt>
                <c:pt idx="26">
                  <c:v>430</c:v>
                </c:pt>
                <c:pt idx="27">
                  <c:v>435</c:v>
                </c:pt>
                <c:pt idx="28">
                  <c:v>440</c:v>
                </c:pt>
                <c:pt idx="29">
                  <c:v>445</c:v>
                </c:pt>
                <c:pt idx="30">
                  <c:v>450</c:v>
                </c:pt>
                <c:pt idx="31">
                  <c:v>455</c:v>
                </c:pt>
                <c:pt idx="32">
                  <c:v>460</c:v>
                </c:pt>
                <c:pt idx="33">
                  <c:v>465</c:v>
                </c:pt>
                <c:pt idx="34">
                  <c:v>470</c:v>
                </c:pt>
                <c:pt idx="35">
                  <c:v>475</c:v>
                </c:pt>
                <c:pt idx="36">
                  <c:v>480</c:v>
                </c:pt>
                <c:pt idx="37">
                  <c:v>485</c:v>
                </c:pt>
                <c:pt idx="38">
                  <c:v>490</c:v>
                </c:pt>
                <c:pt idx="39">
                  <c:v>495</c:v>
                </c:pt>
                <c:pt idx="40">
                  <c:v>500</c:v>
                </c:pt>
                <c:pt idx="41">
                  <c:v>505</c:v>
                </c:pt>
                <c:pt idx="42">
                  <c:v>510</c:v>
                </c:pt>
                <c:pt idx="43">
                  <c:v>515</c:v>
                </c:pt>
                <c:pt idx="44">
                  <c:v>520</c:v>
                </c:pt>
                <c:pt idx="45">
                  <c:v>525</c:v>
                </c:pt>
                <c:pt idx="46">
                  <c:v>530</c:v>
                </c:pt>
                <c:pt idx="47">
                  <c:v>535</c:v>
                </c:pt>
                <c:pt idx="48">
                  <c:v>540</c:v>
                </c:pt>
                <c:pt idx="49">
                  <c:v>545</c:v>
                </c:pt>
                <c:pt idx="50">
                  <c:v>550</c:v>
                </c:pt>
                <c:pt idx="51">
                  <c:v>555</c:v>
                </c:pt>
                <c:pt idx="52">
                  <c:v>560</c:v>
                </c:pt>
                <c:pt idx="53">
                  <c:v>565</c:v>
                </c:pt>
                <c:pt idx="54">
                  <c:v>570</c:v>
                </c:pt>
                <c:pt idx="55">
                  <c:v>575</c:v>
                </c:pt>
                <c:pt idx="56">
                  <c:v>580</c:v>
                </c:pt>
                <c:pt idx="57">
                  <c:v>585</c:v>
                </c:pt>
                <c:pt idx="58">
                  <c:v>590</c:v>
                </c:pt>
                <c:pt idx="59">
                  <c:v>595</c:v>
                </c:pt>
                <c:pt idx="60">
                  <c:v>600</c:v>
                </c:pt>
                <c:pt idx="61">
                  <c:v>605</c:v>
                </c:pt>
                <c:pt idx="62">
                  <c:v>610</c:v>
                </c:pt>
                <c:pt idx="63">
                  <c:v>615</c:v>
                </c:pt>
                <c:pt idx="64">
                  <c:v>620</c:v>
                </c:pt>
                <c:pt idx="65">
                  <c:v>625</c:v>
                </c:pt>
                <c:pt idx="66">
                  <c:v>630</c:v>
                </c:pt>
                <c:pt idx="67">
                  <c:v>635</c:v>
                </c:pt>
                <c:pt idx="68">
                  <c:v>640</c:v>
                </c:pt>
                <c:pt idx="69">
                  <c:v>645</c:v>
                </c:pt>
                <c:pt idx="70">
                  <c:v>650</c:v>
                </c:pt>
                <c:pt idx="71">
                  <c:v>655</c:v>
                </c:pt>
                <c:pt idx="72">
                  <c:v>660</c:v>
                </c:pt>
                <c:pt idx="73">
                  <c:v>665</c:v>
                </c:pt>
                <c:pt idx="74">
                  <c:v>670</c:v>
                </c:pt>
                <c:pt idx="75">
                  <c:v>675</c:v>
                </c:pt>
                <c:pt idx="76">
                  <c:v>680</c:v>
                </c:pt>
                <c:pt idx="77">
                  <c:v>685</c:v>
                </c:pt>
                <c:pt idx="78">
                  <c:v>690</c:v>
                </c:pt>
                <c:pt idx="79">
                  <c:v>695</c:v>
                </c:pt>
                <c:pt idx="80">
                  <c:v>700</c:v>
                </c:pt>
                <c:pt idx="81">
                  <c:v>705</c:v>
                </c:pt>
                <c:pt idx="82">
                  <c:v>710</c:v>
                </c:pt>
                <c:pt idx="83">
                  <c:v>715</c:v>
                </c:pt>
                <c:pt idx="84">
                  <c:v>720</c:v>
                </c:pt>
                <c:pt idx="85">
                  <c:v>725</c:v>
                </c:pt>
                <c:pt idx="86">
                  <c:v>730</c:v>
                </c:pt>
                <c:pt idx="87">
                  <c:v>735</c:v>
                </c:pt>
                <c:pt idx="88">
                  <c:v>740</c:v>
                </c:pt>
                <c:pt idx="89">
                  <c:v>745</c:v>
                </c:pt>
                <c:pt idx="90">
                  <c:v>750</c:v>
                </c:pt>
                <c:pt idx="91">
                  <c:v>755</c:v>
                </c:pt>
                <c:pt idx="92">
                  <c:v>760</c:v>
                </c:pt>
                <c:pt idx="93">
                  <c:v>765</c:v>
                </c:pt>
                <c:pt idx="94">
                  <c:v>770</c:v>
                </c:pt>
                <c:pt idx="95">
                  <c:v>775</c:v>
                </c:pt>
                <c:pt idx="96">
                  <c:v>780</c:v>
                </c:pt>
              </c:numCache>
            </c:numRef>
          </c:xVal>
          <c:yVal>
            <c:numRef>
              <c:f>Calculations!$I$22:$I$118</c:f>
              <c:numCache>
                <c:formatCode>0%</c:formatCode>
                <c:ptCount val="97"/>
                <c:pt idx="0">
                  <c:v>0</c:v>
                </c:pt>
                <c:pt idx="1">
                  <c:v>0</c:v>
                </c:pt>
                <c:pt idx="2">
                  <c:v>6.2429999999999999E-2</c:v>
                </c:pt>
                <c:pt idx="3">
                  <c:v>0.20324500000000001</c:v>
                </c:pt>
                <c:pt idx="4">
                  <c:v>0.31637700000000002</c:v>
                </c:pt>
                <c:pt idx="5">
                  <c:v>0.41478300000000001</c:v>
                </c:pt>
                <c:pt idx="6">
                  <c:v>0.50729299999999999</c:v>
                </c:pt>
                <c:pt idx="7">
                  <c:v>0.59650700000000001</c:v>
                </c:pt>
                <c:pt idx="8">
                  <c:v>0.68412799999999996</c:v>
                </c:pt>
                <c:pt idx="9">
                  <c:v>0.77310800000000002</c:v>
                </c:pt>
                <c:pt idx="10">
                  <c:v>0.85966299999999995</c:v>
                </c:pt>
                <c:pt idx="11">
                  <c:v>0.93438500000000002</c:v>
                </c:pt>
                <c:pt idx="12">
                  <c:v>0.98452899999999999</c:v>
                </c:pt>
                <c:pt idx="13">
                  <c:v>0.99998299999999996</c:v>
                </c:pt>
                <c:pt idx="14">
                  <c:v>0.97470299999999999</c:v>
                </c:pt>
                <c:pt idx="15">
                  <c:v>0.90620500000000004</c:v>
                </c:pt>
                <c:pt idx="16">
                  <c:v>0.79412199999999999</c:v>
                </c:pt>
                <c:pt idx="17">
                  <c:v>0.64479799999999998</c:v>
                </c:pt>
                <c:pt idx="18">
                  <c:v>0.47931400000000002</c:v>
                </c:pt>
                <c:pt idx="19">
                  <c:v>0.32479400000000003</c:v>
                </c:pt>
                <c:pt idx="20">
                  <c:v>0.201625</c:v>
                </c:pt>
                <c:pt idx="21">
                  <c:v>0.116572</c:v>
                </c:pt>
                <c:pt idx="22">
                  <c:v>6.4144999999999994E-2</c:v>
                </c:pt>
                <c:pt idx="23">
                  <c:v>3.4280999999999999E-2</c:v>
                </c:pt>
                <c:pt idx="24">
                  <c:v>1.8069000000000002E-2</c:v>
                </c:pt>
                <c:pt idx="25">
                  <c:v>9.4909999999999994E-3</c:v>
                </c:pt>
                <c:pt idx="26">
                  <c:v>5.0049999999999999E-3</c:v>
                </c:pt>
                <c:pt idx="27">
                  <c:v>2.6619999999999999E-3</c:v>
                </c:pt>
                <c:pt idx="28">
                  <c:v>1.4289999999999999E-3</c:v>
                </c:pt>
                <c:pt idx="29">
                  <c:v>7.7499999999999997E-4</c:v>
                </c:pt>
                <c:pt idx="30">
                  <c:v>4.2499999999999998E-4</c:v>
                </c:pt>
                <c:pt idx="31">
                  <c:v>2.3599999999999999E-4</c:v>
                </c:pt>
                <c:pt idx="32">
                  <c:v>1.3300000000000001E-4</c:v>
                </c:pt>
                <c:pt idx="33">
                  <c:v>7.4999999999999993E-5</c:v>
                </c:pt>
                <c:pt idx="34">
                  <c:v>4.3000000000000002E-5</c:v>
                </c:pt>
                <c:pt idx="35">
                  <c:v>2.5000000000000001E-5</c:v>
                </c:pt>
                <c:pt idx="36">
                  <c:v>1.5E-5</c:v>
                </c:pt>
                <c:pt idx="37">
                  <c:v>9.0000000000000002E-6</c:v>
                </c:pt>
                <c:pt idx="38">
                  <c:v>5.0000000000000004E-6</c:v>
                </c:pt>
                <c:pt idx="39">
                  <c:v>3.0000000000000001E-6</c:v>
                </c:pt>
                <c:pt idx="40">
                  <c:v>1.9999999999999999E-6</c:v>
                </c:pt>
                <c:pt idx="41">
                  <c:v>9.9999999999999995E-7</c:v>
                </c:pt>
                <c:pt idx="42">
                  <c:v>9.9999999999999995E-7</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numCache>
            </c:numRef>
          </c:yVal>
          <c:smooth val="0"/>
          <c:extLst>
            <c:ext xmlns:c16="http://schemas.microsoft.com/office/drawing/2014/chart" uri="{C3380CC4-5D6E-409C-BE32-E72D297353CC}">
              <c16:uniqueId val="{00000000-A305-4171-869B-A57CC9D3D5C8}"/>
            </c:ext>
          </c:extLst>
        </c:ser>
        <c:ser>
          <c:idx val="3"/>
          <c:order val="1"/>
          <c:tx>
            <c:strRef>
              <c:f>Calculations!$J$21</c:f>
              <c:strCache>
                <c:ptCount val="1"/>
                <c:pt idx="0">
                  <c:v>Melanopsin</c:v>
                </c:pt>
              </c:strCache>
            </c:strRef>
          </c:tx>
          <c:spPr>
            <a:ln>
              <a:solidFill>
                <a:schemeClr val="tx1">
                  <a:lumMod val="50000"/>
                  <a:lumOff val="50000"/>
                </a:schemeClr>
              </a:solidFill>
              <a:prstDash val="sysDash"/>
            </a:ln>
          </c:spPr>
          <c:marker>
            <c:symbol val="none"/>
          </c:marker>
          <c:xVal>
            <c:numRef>
              <c:f>Calculations!$H$22:$H$118</c:f>
              <c:numCache>
                <c:formatCode>General</c:formatCode>
                <c:ptCount val="97"/>
                <c:pt idx="0">
                  <c:v>300</c:v>
                </c:pt>
                <c:pt idx="1">
                  <c:v>305</c:v>
                </c:pt>
                <c:pt idx="2">
                  <c:v>310</c:v>
                </c:pt>
                <c:pt idx="3">
                  <c:v>315</c:v>
                </c:pt>
                <c:pt idx="4">
                  <c:v>320</c:v>
                </c:pt>
                <c:pt idx="5">
                  <c:v>325</c:v>
                </c:pt>
                <c:pt idx="6">
                  <c:v>330</c:v>
                </c:pt>
                <c:pt idx="7">
                  <c:v>335</c:v>
                </c:pt>
                <c:pt idx="8">
                  <c:v>340</c:v>
                </c:pt>
                <c:pt idx="9">
                  <c:v>345</c:v>
                </c:pt>
                <c:pt idx="10">
                  <c:v>350</c:v>
                </c:pt>
                <c:pt idx="11">
                  <c:v>355</c:v>
                </c:pt>
                <c:pt idx="12">
                  <c:v>360</c:v>
                </c:pt>
                <c:pt idx="13">
                  <c:v>365</c:v>
                </c:pt>
                <c:pt idx="14">
                  <c:v>370</c:v>
                </c:pt>
                <c:pt idx="15">
                  <c:v>375</c:v>
                </c:pt>
                <c:pt idx="16">
                  <c:v>380</c:v>
                </c:pt>
                <c:pt idx="17">
                  <c:v>385</c:v>
                </c:pt>
                <c:pt idx="18">
                  <c:v>390</c:v>
                </c:pt>
                <c:pt idx="19">
                  <c:v>395</c:v>
                </c:pt>
                <c:pt idx="20">
                  <c:v>400</c:v>
                </c:pt>
                <c:pt idx="21">
                  <c:v>405</c:v>
                </c:pt>
                <c:pt idx="22">
                  <c:v>410</c:v>
                </c:pt>
                <c:pt idx="23">
                  <c:v>415</c:v>
                </c:pt>
                <c:pt idx="24">
                  <c:v>420</c:v>
                </c:pt>
                <c:pt idx="25">
                  <c:v>425</c:v>
                </c:pt>
                <c:pt idx="26">
                  <c:v>430</c:v>
                </c:pt>
                <c:pt idx="27">
                  <c:v>435</c:v>
                </c:pt>
                <c:pt idx="28">
                  <c:v>440</c:v>
                </c:pt>
                <c:pt idx="29">
                  <c:v>445</c:v>
                </c:pt>
                <c:pt idx="30">
                  <c:v>450</c:v>
                </c:pt>
                <c:pt idx="31">
                  <c:v>455</c:v>
                </c:pt>
                <c:pt idx="32">
                  <c:v>460</c:v>
                </c:pt>
                <c:pt idx="33">
                  <c:v>465</c:v>
                </c:pt>
                <c:pt idx="34">
                  <c:v>470</c:v>
                </c:pt>
                <c:pt idx="35">
                  <c:v>475</c:v>
                </c:pt>
                <c:pt idx="36">
                  <c:v>480</c:v>
                </c:pt>
                <c:pt idx="37">
                  <c:v>485</c:v>
                </c:pt>
                <c:pt idx="38">
                  <c:v>490</c:v>
                </c:pt>
                <c:pt idx="39">
                  <c:v>495</c:v>
                </c:pt>
                <c:pt idx="40">
                  <c:v>500</c:v>
                </c:pt>
                <c:pt idx="41">
                  <c:v>505</c:v>
                </c:pt>
                <c:pt idx="42">
                  <c:v>510</c:v>
                </c:pt>
                <c:pt idx="43">
                  <c:v>515</c:v>
                </c:pt>
                <c:pt idx="44">
                  <c:v>520</c:v>
                </c:pt>
                <c:pt idx="45">
                  <c:v>525</c:v>
                </c:pt>
                <c:pt idx="46">
                  <c:v>530</c:v>
                </c:pt>
                <c:pt idx="47">
                  <c:v>535</c:v>
                </c:pt>
                <c:pt idx="48">
                  <c:v>540</c:v>
                </c:pt>
                <c:pt idx="49">
                  <c:v>545</c:v>
                </c:pt>
                <c:pt idx="50">
                  <c:v>550</c:v>
                </c:pt>
                <c:pt idx="51">
                  <c:v>555</c:v>
                </c:pt>
                <c:pt idx="52">
                  <c:v>560</c:v>
                </c:pt>
                <c:pt idx="53">
                  <c:v>565</c:v>
                </c:pt>
                <c:pt idx="54">
                  <c:v>570</c:v>
                </c:pt>
                <c:pt idx="55">
                  <c:v>575</c:v>
                </c:pt>
                <c:pt idx="56">
                  <c:v>580</c:v>
                </c:pt>
                <c:pt idx="57">
                  <c:v>585</c:v>
                </c:pt>
                <c:pt idx="58">
                  <c:v>590</c:v>
                </c:pt>
                <c:pt idx="59">
                  <c:v>595</c:v>
                </c:pt>
                <c:pt idx="60">
                  <c:v>600</c:v>
                </c:pt>
                <c:pt idx="61">
                  <c:v>605</c:v>
                </c:pt>
                <c:pt idx="62">
                  <c:v>610</c:v>
                </c:pt>
                <c:pt idx="63">
                  <c:v>615</c:v>
                </c:pt>
                <c:pt idx="64">
                  <c:v>620</c:v>
                </c:pt>
                <c:pt idx="65">
                  <c:v>625</c:v>
                </c:pt>
                <c:pt idx="66">
                  <c:v>630</c:v>
                </c:pt>
                <c:pt idx="67">
                  <c:v>635</c:v>
                </c:pt>
                <c:pt idx="68">
                  <c:v>640</c:v>
                </c:pt>
                <c:pt idx="69">
                  <c:v>645</c:v>
                </c:pt>
                <c:pt idx="70">
                  <c:v>650</c:v>
                </c:pt>
                <c:pt idx="71">
                  <c:v>655</c:v>
                </c:pt>
                <c:pt idx="72">
                  <c:v>660</c:v>
                </c:pt>
                <c:pt idx="73">
                  <c:v>665</c:v>
                </c:pt>
                <c:pt idx="74">
                  <c:v>670</c:v>
                </c:pt>
                <c:pt idx="75">
                  <c:v>675</c:v>
                </c:pt>
                <c:pt idx="76">
                  <c:v>680</c:v>
                </c:pt>
                <c:pt idx="77">
                  <c:v>685</c:v>
                </c:pt>
                <c:pt idx="78">
                  <c:v>690</c:v>
                </c:pt>
                <c:pt idx="79">
                  <c:v>695</c:v>
                </c:pt>
                <c:pt idx="80">
                  <c:v>700</c:v>
                </c:pt>
                <c:pt idx="81">
                  <c:v>705</c:v>
                </c:pt>
                <c:pt idx="82">
                  <c:v>710</c:v>
                </c:pt>
                <c:pt idx="83">
                  <c:v>715</c:v>
                </c:pt>
                <c:pt idx="84">
                  <c:v>720</c:v>
                </c:pt>
                <c:pt idx="85">
                  <c:v>725</c:v>
                </c:pt>
                <c:pt idx="86">
                  <c:v>730</c:v>
                </c:pt>
                <c:pt idx="87">
                  <c:v>735</c:v>
                </c:pt>
                <c:pt idx="88">
                  <c:v>740</c:v>
                </c:pt>
                <c:pt idx="89">
                  <c:v>745</c:v>
                </c:pt>
                <c:pt idx="90">
                  <c:v>750</c:v>
                </c:pt>
                <c:pt idx="91">
                  <c:v>755</c:v>
                </c:pt>
                <c:pt idx="92">
                  <c:v>760</c:v>
                </c:pt>
                <c:pt idx="93">
                  <c:v>765</c:v>
                </c:pt>
                <c:pt idx="94">
                  <c:v>770</c:v>
                </c:pt>
                <c:pt idx="95">
                  <c:v>775</c:v>
                </c:pt>
                <c:pt idx="96">
                  <c:v>780</c:v>
                </c:pt>
              </c:numCache>
            </c:numRef>
          </c:xVal>
          <c:yVal>
            <c:numRef>
              <c:f>Calculations!$J$22:$J$118</c:f>
              <c:numCache>
                <c:formatCode>0%</c:formatCode>
                <c:ptCount val="97"/>
                <c:pt idx="0">
                  <c:v>0</c:v>
                </c:pt>
                <c:pt idx="1">
                  <c:v>0</c:v>
                </c:pt>
                <c:pt idx="2">
                  <c:v>1.0685999999999999E-2</c:v>
                </c:pt>
                <c:pt idx="3">
                  <c:v>3.5457000000000002E-2</c:v>
                </c:pt>
                <c:pt idx="4">
                  <c:v>5.5732999999999998E-2</c:v>
                </c:pt>
                <c:pt idx="5">
                  <c:v>7.2831000000000007E-2</c:v>
                </c:pt>
                <c:pt idx="6">
                  <c:v>8.7540000000000007E-2</c:v>
                </c:pt>
                <c:pt idx="7">
                  <c:v>9.9873000000000003E-2</c:v>
                </c:pt>
                <c:pt idx="8">
                  <c:v>0.110087</c:v>
                </c:pt>
                <c:pt idx="9">
                  <c:v>0.118993</c:v>
                </c:pt>
                <c:pt idx="10">
                  <c:v>0.126667</c:v>
                </c:pt>
                <c:pt idx="11">
                  <c:v>0.13277700000000001</c:v>
                </c:pt>
                <c:pt idx="12">
                  <c:v>0.136986</c:v>
                </c:pt>
                <c:pt idx="13">
                  <c:v>0.13964599999999999</c:v>
                </c:pt>
                <c:pt idx="14">
                  <c:v>0.14172499999999999</c:v>
                </c:pt>
                <c:pt idx="15">
                  <c:v>0.14449999999999999</c:v>
                </c:pt>
                <c:pt idx="16">
                  <c:v>0.14896899999999999</c:v>
                </c:pt>
                <c:pt idx="17">
                  <c:v>0.155752</c:v>
                </c:pt>
                <c:pt idx="18">
                  <c:v>0.16602700000000001</c:v>
                </c:pt>
                <c:pt idx="19">
                  <c:v>0.18101900000000001</c:v>
                </c:pt>
                <c:pt idx="20">
                  <c:v>0.20138</c:v>
                </c:pt>
                <c:pt idx="21">
                  <c:v>0.22764699999999999</c:v>
                </c:pt>
                <c:pt idx="22">
                  <c:v>0.26022899999999999</c:v>
                </c:pt>
                <c:pt idx="23">
                  <c:v>0.29935400000000001</c:v>
                </c:pt>
                <c:pt idx="24">
                  <c:v>0.34492</c:v>
                </c:pt>
                <c:pt idx="25">
                  <c:v>0.396478</c:v>
                </c:pt>
                <c:pt idx="26">
                  <c:v>0.45363500000000001</c:v>
                </c:pt>
                <c:pt idx="27">
                  <c:v>0.51570700000000003</c:v>
                </c:pt>
                <c:pt idx="28">
                  <c:v>0.58089900000000005</c:v>
                </c:pt>
                <c:pt idx="29">
                  <c:v>0.64730500000000002</c:v>
                </c:pt>
                <c:pt idx="30">
                  <c:v>0.71323400000000003</c:v>
                </c:pt>
                <c:pt idx="31">
                  <c:v>0.77724499999999996</c:v>
                </c:pt>
                <c:pt idx="32">
                  <c:v>0.83754600000000001</c:v>
                </c:pt>
                <c:pt idx="33">
                  <c:v>0.89163599999999998</c:v>
                </c:pt>
                <c:pt idx="34">
                  <c:v>0.93749899999999997</c:v>
                </c:pt>
                <c:pt idx="35">
                  <c:v>0.97286300000000003</c:v>
                </c:pt>
                <c:pt idx="36">
                  <c:v>0.99419299999999999</c:v>
                </c:pt>
                <c:pt idx="37">
                  <c:v>0.99989399999999995</c:v>
                </c:pt>
                <c:pt idx="38">
                  <c:v>0.99014899999999995</c:v>
                </c:pt>
                <c:pt idx="39">
                  <c:v>0.96519999999999995</c:v>
                </c:pt>
                <c:pt idx="40">
                  <c:v>0.92438399999999998</c:v>
                </c:pt>
                <c:pt idx="41">
                  <c:v>0.86674200000000001</c:v>
                </c:pt>
                <c:pt idx="42">
                  <c:v>0.79544899999999996</c:v>
                </c:pt>
                <c:pt idx="43">
                  <c:v>0.71505799999999997</c:v>
                </c:pt>
                <c:pt idx="44">
                  <c:v>0.62927599999999995</c:v>
                </c:pt>
                <c:pt idx="45">
                  <c:v>0.54184900000000003</c:v>
                </c:pt>
                <c:pt idx="46">
                  <c:v>0.45622600000000002</c:v>
                </c:pt>
                <c:pt idx="47">
                  <c:v>0.37534899999999999</c:v>
                </c:pt>
                <c:pt idx="48">
                  <c:v>0.301487</c:v>
                </c:pt>
                <c:pt idx="49">
                  <c:v>0.23619399999999999</c:v>
                </c:pt>
                <c:pt idx="50">
                  <c:v>0.180197</c:v>
                </c:pt>
                <c:pt idx="51">
                  <c:v>0.13372899999999999</c:v>
                </c:pt>
                <c:pt idx="52">
                  <c:v>9.6595E-2</c:v>
                </c:pt>
                <c:pt idx="53">
                  <c:v>6.8043000000000006E-2</c:v>
                </c:pt>
                <c:pt idx="54">
                  <c:v>4.6890000000000001E-2</c:v>
                </c:pt>
                <c:pt idx="55">
                  <c:v>3.1726999999999998E-2</c:v>
                </c:pt>
                <c:pt idx="56">
                  <c:v>2.1158E-2</c:v>
                </c:pt>
                <c:pt idx="57">
                  <c:v>1.3956E-2</c:v>
                </c:pt>
                <c:pt idx="58">
                  <c:v>9.1389999999999996E-3</c:v>
                </c:pt>
                <c:pt idx="59">
                  <c:v>5.9620000000000003E-3</c:v>
                </c:pt>
                <c:pt idx="60">
                  <c:v>3.885E-3</c:v>
                </c:pt>
                <c:pt idx="61">
                  <c:v>2.5330000000000001E-3</c:v>
                </c:pt>
                <c:pt idx="62">
                  <c:v>1.655E-3</c:v>
                </c:pt>
                <c:pt idx="63">
                  <c:v>1.0839999999999999E-3</c:v>
                </c:pt>
                <c:pt idx="64">
                  <c:v>7.1199999999999996E-4</c:v>
                </c:pt>
                <c:pt idx="65">
                  <c:v>4.6999999999999999E-4</c:v>
                </c:pt>
                <c:pt idx="66">
                  <c:v>3.1199999999999999E-4</c:v>
                </c:pt>
                <c:pt idx="67">
                  <c:v>2.0799999999999999E-4</c:v>
                </c:pt>
                <c:pt idx="68">
                  <c:v>1.3999999999999999E-4</c:v>
                </c:pt>
                <c:pt idx="69">
                  <c:v>9.3999999999999994E-5</c:v>
                </c:pt>
                <c:pt idx="70">
                  <c:v>6.3999999999999997E-5</c:v>
                </c:pt>
                <c:pt idx="71">
                  <c:v>4.3999999999999999E-5</c:v>
                </c:pt>
                <c:pt idx="72">
                  <c:v>3.0000000000000001E-5</c:v>
                </c:pt>
                <c:pt idx="73">
                  <c:v>2.0999999999999999E-5</c:v>
                </c:pt>
                <c:pt idx="74">
                  <c:v>1.4E-5</c:v>
                </c:pt>
                <c:pt idx="75">
                  <c:v>1.0000000000000001E-5</c:v>
                </c:pt>
                <c:pt idx="76">
                  <c:v>6.9999999999999999E-6</c:v>
                </c:pt>
                <c:pt idx="77">
                  <c:v>5.0000000000000004E-6</c:v>
                </c:pt>
                <c:pt idx="78">
                  <c:v>3.0000000000000001E-6</c:v>
                </c:pt>
                <c:pt idx="79">
                  <c:v>1.9999999999999999E-6</c:v>
                </c:pt>
                <c:pt idx="80">
                  <c:v>1.9999999999999999E-6</c:v>
                </c:pt>
                <c:pt idx="81">
                  <c:v>9.9999999999999995E-7</c:v>
                </c:pt>
                <c:pt idx="82">
                  <c:v>9.9999999999999995E-7</c:v>
                </c:pt>
                <c:pt idx="83">
                  <c:v>9.9999999999999995E-7</c:v>
                </c:pt>
                <c:pt idx="84">
                  <c:v>0</c:v>
                </c:pt>
                <c:pt idx="85">
                  <c:v>0</c:v>
                </c:pt>
                <c:pt idx="86">
                  <c:v>0</c:v>
                </c:pt>
                <c:pt idx="87">
                  <c:v>0</c:v>
                </c:pt>
                <c:pt idx="88">
                  <c:v>0</c:v>
                </c:pt>
                <c:pt idx="89">
                  <c:v>0</c:v>
                </c:pt>
                <c:pt idx="90">
                  <c:v>0</c:v>
                </c:pt>
                <c:pt idx="91">
                  <c:v>0</c:v>
                </c:pt>
                <c:pt idx="92">
                  <c:v>0</c:v>
                </c:pt>
                <c:pt idx="93">
                  <c:v>0</c:v>
                </c:pt>
                <c:pt idx="94">
                  <c:v>0</c:v>
                </c:pt>
                <c:pt idx="95">
                  <c:v>0</c:v>
                </c:pt>
                <c:pt idx="96">
                  <c:v>0</c:v>
                </c:pt>
              </c:numCache>
            </c:numRef>
          </c:yVal>
          <c:smooth val="0"/>
          <c:extLst>
            <c:ext xmlns:c16="http://schemas.microsoft.com/office/drawing/2014/chart" uri="{C3380CC4-5D6E-409C-BE32-E72D297353CC}">
              <c16:uniqueId val="{00000001-A305-4171-869B-A57CC9D3D5C8}"/>
            </c:ext>
          </c:extLst>
        </c:ser>
        <c:ser>
          <c:idx val="2"/>
          <c:order val="2"/>
          <c:tx>
            <c:strRef>
              <c:f>Calculations!$K$21</c:f>
              <c:strCache>
                <c:ptCount val="1"/>
                <c:pt idx="0">
                  <c:v>Rod</c:v>
                </c:pt>
              </c:strCache>
            </c:strRef>
          </c:tx>
          <c:spPr>
            <a:ln>
              <a:solidFill>
                <a:schemeClr val="tx1"/>
              </a:solidFill>
              <a:prstDash val="solid"/>
            </a:ln>
          </c:spPr>
          <c:marker>
            <c:symbol val="none"/>
          </c:marker>
          <c:xVal>
            <c:numRef>
              <c:f>Calculations!$H$22:$H$118</c:f>
              <c:numCache>
                <c:formatCode>General</c:formatCode>
                <c:ptCount val="97"/>
                <c:pt idx="0">
                  <c:v>300</c:v>
                </c:pt>
                <c:pt idx="1">
                  <c:v>305</c:v>
                </c:pt>
                <c:pt idx="2">
                  <c:v>310</c:v>
                </c:pt>
                <c:pt idx="3">
                  <c:v>315</c:v>
                </c:pt>
                <c:pt idx="4">
                  <c:v>320</c:v>
                </c:pt>
                <c:pt idx="5">
                  <c:v>325</c:v>
                </c:pt>
                <c:pt idx="6">
                  <c:v>330</c:v>
                </c:pt>
                <c:pt idx="7">
                  <c:v>335</c:v>
                </c:pt>
                <c:pt idx="8">
                  <c:v>340</c:v>
                </c:pt>
                <c:pt idx="9">
                  <c:v>345</c:v>
                </c:pt>
                <c:pt idx="10">
                  <c:v>350</c:v>
                </c:pt>
                <c:pt idx="11">
                  <c:v>355</c:v>
                </c:pt>
                <c:pt idx="12">
                  <c:v>360</c:v>
                </c:pt>
                <c:pt idx="13">
                  <c:v>365</c:v>
                </c:pt>
                <c:pt idx="14">
                  <c:v>370</c:v>
                </c:pt>
                <c:pt idx="15">
                  <c:v>375</c:v>
                </c:pt>
                <c:pt idx="16">
                  <c:v>380</c:v>
                </c:pt>
                <c:pt idx="17">
                  <c:v>385</c:v>
                </c:pt>
                <c:pt idx="18">
                  <c:v>390</c:v>
                </c:pt>
                <c:pt idx="19">
                  <c:v>395</c:v>
                </c:pt>
                <c:pt idx="20">
                  <c:v>400</c:v>
                </c:pt>
                <c:pt idx="21">
                  <c:v>405</c:v>
                </c:pt>
                <c:pt idx="22">
                  <c:v>410</c:v>
                </c:pt>
                <c:pt idx="23">
                  <c:v>415</c:v>
                </c:pt>
                <c:pt idx="24">
                  <c:v>420</c:v>
                </c:pt>
                <c:pt idx="25">
                  <c:v>425</c:v>
                </c:pt>
                <c:pt idx="26">
                  <c:v>430</c:v>
                </c:pt>
                <c:pt idx="27">
                  <c:v>435</c:v>
                </c:pt>
                <c:pt idx="28">
                  <c:v>440</c:v>
                </c:pt>
                <c:pt idx="29">
                  <c:v>445</c:v>
                </c:pt>
                <c:pt idx="30">
                  <c:v>450</c:v>
                </c:pt>
                <c:pt idx="31">
                  <c:v>455</c:v>
                </c:pt>
                <c:pt idx="32">
                  <c:v>460</c:v>
                </c:pt>
                <c:pt idx="33">
                  <c:v>465</c:v>
                </c:pt>
                <c:pt idx="34">
                  <c:v>470</c:v>
                </c:pt>
                <c:pt idx="35">
                  <c:v>475</c:v>
                </c:pt>
                <c:pt idx="36">
                  <c:v>480</c:v>
                </c:pt>
                <c:pt idx="37">
                  <c:v>485</c:v>
                </c:pt>
                <c:pt idx="38">
                  <c:v>490</c:v>
                </c:pt>
                <c:pt idx="39">
                  <c:v>495</c:v>
                </c:pt>
                <c:pt idx="40">
                  <c:v>500</c:v>
                </c:pt>
                <c:pt idx="41">
                  <c:v>505</c:v>
                </c:pt>
                <c:pt idx="42">
                  <c:v>510</c:v>
                </c:pt>
                <c:pt idx="43">
                  <c:v>515</c:v>
                </c:pt>
                <c:pt idx="44">
                  <c:v>520</c:v>
                </c:pt>
                <c:pt idx="45">
                  <c:v>525</c:v>
                </c:pt>
                <c:pt idx="46">
                  <c:v>530</c:v>
                </c:pt>
                <c:pt idx="47">
                  <c:v>535</c:v>
                </c:pt>
                <c:pt idx="48">
                  <c:v>540</c:v>
                </c:pt>
                <c:pt idx="49">
                  <c:v>545</c:v>
                </c:pt>
                <c:pt idx="50">
                  <c:v>550</c:v>
                </c:pt>
                <c:pt idx="51">
                  <c:v>555</c:v>
                </c:pt>
                <c:pt idx="52">
                  <c:v>560</c:v>
                </c:pt>
                <c:pt idx="53">
                  <c:v>565</c:v>
                </c:pt>
                <c:pt idx="54">
                  <c:v>570</c:v>
                </c:pt>
                <c:pt idx="55">
                  <c:v>575</c:v>
                </c:pt>
                <c:pt idx="56">
                  <c:v>580</c:v>
                </c:pt>
                <c:pt idx="57">
                  <c:v>585</c:v>
                </c:pt>
                <c:pt idx="58">
                  <c:v>590</c:v>
                </c:pt>
                <c:pt idx="59">
                  <c:v>595</c:v>
                </c:pt>
                <c:pt idx="60">
                  <c:v>600</c:v>
                </c:pt>
                <c:pt idx="61">
                  <c:v>605</c:v>
                </c:pt>
                <c:pt idx="62">
                  <c:v>610</c:v>
                </c:pt>
                <c:pt idx="63">
                  <c:v>615</c:v>
                </c:pt>
                <c:pt idx="64">
                  <c:v>620</c:v>
                </c:pt>
                <c:pt idx="65">
                  <c:v>625</c:v>
                </c:pt>
                <c:pt idx="66">
                  <c:v>630</c:v>
                </c:pt>
                <c:pt idx="67">
                  <c:v>635</c:v>
                </c:pt>
                <c:pt idx="68">
                  <c:v>640</c:v>
                </c:pt>
                <c:pt idx="69">
                  <c:v>645</c:v>
                </c:pt>
                <c:pt idx="70">
                  <c:v>650</c:v>
                </c:pt>
                <c:pt idx="71">
                  <c:v>655</c:v>
                </c:pt>
                <c:pt idx="72">
                  <c:v>660</c:v>
                </c:pt>
                <c:pt idx="73">
                  <c:v>665</c:v>
                </c:pt>
                <c:pt idx="74">
                  <c:v>670</c:v>
                </c:pt>
                <c:pt idx="75">
                  <c:v>675</c:v>
                </c:pt>
                <c:pt idx="76">
                  <c:v>680</c:v>
                </c:pt>
                <c:pt idx="77">
                  <c:v>685</c:v>
                </c:pt>
                <c:pt idx="78">
                  <c:v>690</c:v>
                </c:pt>
                <c:pt idx="79">
                  <c:v>695</c:v>
                </c:pt>
                <c:pt idx="80">
                  <c:v>700</c:v>
                </c:pt>
                <c:pt idx="81">
                  <c:v>705</c:v>
                </c:pt>
                <c:pt idx="82">
                  <c:v>710</c:v>
                </c:pt>
                <c:pt idx="83">
                  <c:v>715</c:v>
                </c:pt>
                <c:pt idx="84">
                  <c:v>720</c:v>
                </c:pt>
                <c:pt idx="85">
                  <c:v>725</c:v>
                </c:pt>
                <c:pt idx="86">
                  <c:v>730</c:v>
                </c:pt>
                <c:pt idx="87">
                  <c:v>735</c:v>
                </c:pt>
                <c:pt idx="88">
                  <c:v>740</c:v>
                </c:pt>
                <c:pt idx="89">
                  <c:v>745</c:v>
                </c:pt>
                <c:pt idx="90">
                  <c:v>750</c:v>
                </c:pt>
                <c:pt idx="91">
                  <c:v>755</c:v>
                </c:pt>
                <c:pt idx="92">
                  <c:v>760</c:v>
                </c:pt>
                <c:pt idx="93">
                  <c:v>765</c:v>
                </c:pt>
                <c:pt idx="94">
                  <c:v>770</c:v>
                </c:pt>
                <c:pt idx="95">
                  <c:v>775</c:v>
                </c:pt>
                <c:pt idx="96">
                  <c:v>780</c:v>
                </c:pt>
              </c:numCache>
            </c:numRef>
          </c:xVal>
          <c:yVal>
            <c:numRef>
              <c:f>Calculations!$K$22:$K$118</c:f>
              <c:numCache>
                <c:formatCode>0%</c:formatCode>
                <c:ptCount val="97"/>
                <c:pt idx="0">
                  <c:v>0</c:v>
                </c:pt>
                <c:pt idx="1">
                  <c:v>0</c:v>
                </c:pt>
                <c:pt idx="2">
                  <c:v>9.3120000000000008E-3</c:v>
                </c:pt>
                <c:pt idx="3">
                  <c:v>3.1043000000000001E-2</c:v>
                </c:pt>
                <c:pt idx="4">
                  <c:v>4.9113999999999998E-2</c:v>
                </c:pt>
                <c:pt idx="5">
                  <c:v>6.4702999999999997E-2</c:v>
                </c:pt>
                <c:pt idx="6">
                  <c:v>7.8510999999999997E-2</c:v>
                </c:pt>
                <c:pt idx="7">
                  <c:v>9.0525999999999995E-2</c:v>
                </c:pt>
                <c:pt idx="8">
                  <c:v>0.100915</c:v>
                </c:pt>
                <c:pt idx="9">
                  <c:v>0.110328</c:v>
                </c:pt>
                <c:pt idx="10">
                  <c:v>0.118701</c:v>
                </c:pt>
                <c:pt idx="11">
                  <c:v>0.125531</c:v>
                </c:pt>
                <c:pt idx="12">
                  <c:v>0.13023000000000001</c:v>
                </c:pt>
                <c:pt idx="13">
                  <c:v>0.13280700000000001</c:v>
                </c:pt>
                <c:pt idx="14">
                  <c:v>0.13384599999999999</c:v>
                </c:pt>
                <c:pt idx="15">
                  <c:v>0.134219</c:v>
                </c:pt>
                <c:pt idx="16">
                  <c:v>0.134551</c:v>
                </c:pt>
                <c:pt idx="17">
                  <c:v>0.13517299999999999</c:v>
                </c:pt>
                <c:pt idx="18">
                  <c:v>0.137019</c:v>
                </c:pt>
                <c:pt idx="19">
                  <c:v>0.14113800000000001</c:v>
                </c:pt>
                <c:pt idx="20">
                  <c:v>0.14821500000000001</c:v>
                </c:pt>
                <c:pt idx="21">
                  <c:v>0.158996</c:v>
                </c:pt>
                <c:pt idx="22">
                  <c:v>0.17424300000000001</c:v>
                </c:pt>
                <c:pt idx="23">
                  <c:v>0.194663</c:v>
                </c:pt>
                <c:pt idx="24">
                  <c:v>0.22078</c:v>
                </c:pt>
                <c:pt idx="25">
                  <c:v>0.25290200000000002</c:v>
                </c:pt>
                <c:pt idx="26">
                  <c:v>0.29134599999999999</c:v>
                </c:pt>
                <c:pt idx="27">
                  <c:v>0.33619399999999999</c:v>
                </c:pt>
                <c:pt idx="28">
                  <c:v>0.38672899999999999</c:v>
                </c:pt>
                <c:pt idx="29">
                  <c:v>0.442023</c:v>
                </c:pt>
                <c:pt idx="30">
                  <c:v>0.50115200000000004</c:v>
                </c:pt>
                <c:pt idx="31">
                  <c:v>0.56325599999999998</c:v>
                </c:pt>
                <c:pt idx="32">
                  <c:v>0.62717000000000001</c:v>
                </c:pt>
                <c:pt idx="33">
                  <c:v>0.69113999999999998</c:v>
                </c:pt>
                <c:pt idx="34">
                  <c:v>0.75372899999999998</c:v>
                </c:pt>
                <c:pt idx="35">
                  <c:v>0.81325000000000003</c:v>
                </c:pt>
                <c:pt idx="36">
                  <c:v>0.86678299999999997</c:v>
                </c:pt>
                <c:pt idx="37">
                  <c:v>0.91268099999999996</c:v>
                </c:pt>
                <c:pt idx="38">
                  <c:v>0.95051200000000002</c:v>
                </c:pt>
                <c:pt idx="39">
                  <c:v>0.979437</c:v>
                </c:pt>
                <c:pt idx="40">
                  <c:v>0.99689700000000003</c:v>
                </c:pt>
                <c:pt idx="41">
                  <c:v>0.99871399999999999</c:v>
                </c:pt>
                <c:pt idx="42">
                  <c:v>0.98414500000000005</c:v>
                </c:pt>
                <c:pt idx="43">
                  <c:v>0.95400399999999996</c:v>
                </c:pt>
                <c:pt idx="44">
                  <c:v>0.90862600000000004</c:v>
                </c:pt>
                <c:pt idx="45">
                  <c:v>0.84943599999999997</c:v>
                </c:pt>
                <c:pt idx="46">
                  <c:v>0.77895400000000004</c:v>
                </c:pt>
                <c:pt idx="47">
                  <c:v>0.70057700000000001</c:v>
                </c:pt>
                <c:pt idx="48">
                  <c:v>0.61807000000000001</c:v>
                </c:pt>
                <c:pt idx="49">
                  <c:v>0.53502300000000003</c:v>
                </c:pt>
                <c:pt idx="50">
                  <c:v>0.45410099999999998</c:v>
                </c:pt>
                <c:pt idx="51">
                  <c:v>0.37747199999999997</c:v>
                </c:pt>
                <c:pt idx="52">
                  <c:v>0.307058</c:v>
                </c:pt>
                <c:pt idx="53">
                  <c:v>0.24421999999999999</c:v>
                </c:pt>
                <c:pt idx="54">
                  <c:v>0.189753</c:v>
                </c:pt>
                <c:pt idx="55">
                  <c:v>0.14391300000000001</c:v>
                </c:pt>
                <c:pt idx="56">
                  <c:v>0.106507</c:v>
                </c:pt>
                <c:pt idx="57">
                  <c:v>7.6953999999999995E-2</c:v>
                </c:pt>
                <c:pt idx="58">
                  <c:v>5.4396E-2</c:v>
                </c:pt>
                <c:pt idx="59">
                  <c:v>3.7735999999999999E-2</c:v>
                </c:pt>
                <c:pt idx="60">
                  <c:v>2.5780999999999998E-2</c:v>
                </c:pt>
                <c:pt idx="61">
                  <c:v>1.7406000000000001E-2</c:v>
                </c:pt>
                <c:pt idx="62">
                  <c:v>1.1649E-2</c:v>
                </c:pt>
                <c:pt idx="63">
                  <c:v>7.7489999999999998E-3</c:v>
                </c:pt>
                <c:pt idx="64">
                  <c:v>5.1370000000000001E-3</c:v>
                </c:pt>
                <c:pt idx="65">
                  <c:v>3.4009999999999999E-3</c:v>
                </c:pt>
                <c:pt idx="66">
                  <c:v>2.2539999999999999E-3</c:v>
                </c:pt>
                <c:pt idx="67">
                  <c:v>1.4989999999999999E-3</c:v>
                </c:pt>
                <c:pt idx="68">
                  <c:v>1E-3</c:v>
                </c:pt>
                <c:pt idx="69">
                  <c:v>6.69E-4</c:v>
                </c:pt>
                <c:pt idx="70">
                  <c:v>4.4900000000000002E-4</c:v>
                </c:pt>
                <c:pt idx="71">
                  <c:v>3.0400000000000002E-4</c:v>
                </c:pt>
                <c:pt idx="72">
                  <c:v>2.0599999999999999E-4</c:v>
                </c:pt>
                <c:pt idx="73">
                  <c:v>1.3999999999999999E-4</c:v>
                </c:pt>
                <c:pt idx="74">
                  <c:v>9.6000000000000002E-5</c:v>
                </c:pt>
                <c:pt idx="75">
                  <c:v>6.6000000000000005E-5</c:v>
                </c:pt>
                <c:pt idx="76">
                  <c:v>4.6E-5</c:v>
                </c:pt>
                <c:pt idx="77">
                  <c:v>3.1999999999999999E-5</c:v>
                </c:pt>
                <c:pt idx="78">
                  <c:v>2.1999999999999999E-5</c:v>
                </c:pt>
                <c:pt idx="79">
                  <c:v>1.5999999999999999E-5</c:v>
                </c:pt>
                <c:pt idx="80">
                  <c:v>1.1E-5</c:v>
                </c:pt>
                <c:pt idx="81">
                  <c:v>7.9999999999999996E-6</c:v>
                </c:pt>
                <c:pt idx="82">
                  <c:v>6.0000000000000002E-6</c:v>
                </c:pt>
                <c:pt idx="83">
                  <c:v>3.9999999999999998E-6</c:v>
                </c:pt>
                <c:pt idx="84">
                  <c:v>3.0000000000000001E-6</c:v>
                </c:pt>
                <c:pt idx="85">
                  <c:v>1.9999999999999999E-6</c:v>
                </c:pt>
                <c:pt idx="86">
                  <c:v>1.9999999999999999E-6</c:v>
                </c:pt>
                <c:pt idx="87">
                  <c:v>9.9999999999999995E-7</c:v>
                </c:pt>
                <c:pt idx="88">
                  <c:v>9.9999999999999995E-7</c:v>
                </c:pt>
                <c:pt idx="89">
                  <c:v>9.9999999999999995E-7</c:v>
                </c:pt>
                <c:pt idx="90">
                  <c:v>0</c:v>
                </c:pt>
                <c:pt idx="91">
                  <c:v>0</c:v>
                </c:pt>
                <c:pt idx="92">
                  <c:v>0</c:v>
                </c:pt>
                <c:pt idx="93">
                  <c:v>0</c:v>
                </c:pt>
                <c:pt idx="94">
                  <c:v>0</c:v>
                </c:pt>
                <c:pt idx="95">
                  <c:v>0</c:v>
                </c:pt>
                <c:pt idx="96">
                  <c:v>0</c:v>
                </c:pt>
              </c:numCache>
            </c:numRef>
          </c:yVal>
          <c:smooth val="0"/>
          <c:extLst>
            <c:ext xmlns:c16="http://schemas.microsoft.com/office/drawing/2014/chart" uri="{C3380CC4-5D6E-409C-BE32-E72D297353CC}">
              <c16:uniqueId val="{00000002-A305-4171-869B-A57CC9D3D5C8}"/>
            </c:ext>
          </c:extLst>
        </c:ser>
        <c:ser>
          <c:idx val="1"/>
          <c:order val="3"/>
          <c:tx>
            <c:strRef>
              <c:f>Calculations!$L$21</c:f>
              <c:strCache>
                <c:ptCount val="1"/>
                <c:pt idx="0">
                  <c:v>M cone</c:v>
                </c:pt>
              </c:strCache>
            </c:strRef>
          </c:tx>
          <c:spPr>
            <a:ln>
              <a:solidFill>
                <a:srgbClr val="00FF00"/>
              </a:solidFill>
            </a:ln>
          </c:spPr>
          <c:marker>
            <c:symbol val="none"/>
          </c:marker>
          <c:xVal>
            <c:numRef>
              <c:f>Calculations!$H$22:$H$118</c:f>
              <c:numCache>
                <c:formatCode>General</c:formatCode>
                <c:ptCount val="97"/>
                <c:pt idx="0">
                  <c:v>300</c:v>
                </c:pt>
                <c:pt idx="1">
                  <c:v>305</c:v>
                </c:pt>
                <c:pt idx="2">
                  <c:v>310</c:v>
                </c:pt>
                <c:pt idx="3">
                  <c:v>315</c:v>
                </c:pt>
                <c:pt idx="4">
                  <c:v>320</c:v>
                </c:pt>
                <c:pt idx="5">
                  <c:v>325</c:v>
                </c:pt>
                <c:pt idx="6">
                  <c:v>330</c:v>
                </c:pt>
                <c:pt idx="7">
                  <c:v>335</c:v>
                </c:pt>
                <c:pt idx="8">
                  <c:v>340</c:v>
                </c:pt>
                <c:pt idx="9">
                  <c:v>345</c:v>
                </c:pt>
                <c:pt idx="10">
                  <c:v>350</c:v>
                </c:pt>
                <c:pt idx="11">
                  <c:v>355</c:v>
                </c:pt>
                <c:pt idx="12">
                  <c:v>360</c:v>
                </c:pt>
                <c:pt idx="13">
                  <c:v>365</c:v>
                </c:pt>
                <c:pt idx="14">
                  <c:v>370</c:v>
                </c:pt>
                <c:pt idx="15">
                  <c:v>375</c:v>
                </c:pt>
                <c:pt idx="16">
                  <c:v>380</c:v>
                </c:pt>
                <c:pt idx="17">
                  <c:v>385</c:v>
                </c:pt>
                <c:pt idx="18">
                  <c:v>390</c:v>
                </c:pt>
                <c:pt idx="19">
                  <c:v>395</c:v>
                </c:pt>
                <c:pt idx="20">
                  <c:v>400</c:v>
                </c:pt>
                <c:pt idx="21">
                  <c:v>405</c:v>
                </c:pt>
                <c:pt idx="22">
                  <c:v>410</c:v>
                </c:pt>
                <c:pt idx="23">
                  <c:v>415</c:v>
                </c:pt>
                <c:pt idx="24">
                  <c:v>420</c:v>
                </c:pt>
                <c:pt idx="25">
                  <c:v>425</c:v>
                </c:pt>
                <c:pt idx="26">
                  <c:v>430</c:v>
                </c:pt>
                <c:pt idx="27">
                  <c:v>435</c:v>
                </c:pt>
                <c:pt idx="28">
                  <c:v>440</c:v>
                </c:pt>
                <c:pt idx="29">
                  <c:v>445</c:v>
                </c:pt>
                <c:pt idx="30">
                  <c:v>450</c:v>
                </c:pt>
                <c:pt idx="31">
                  <c:v>455</c:v>
                </c:pt>
                <c:pt idx="32">
                  <c:v>460</c:v>
                </c:pt>
                <c:pt idx="33">
                  <c:v>465</c:v>
                </c:pt>
                <c:pt idx="34">
                  <c:v>470</c:v>
                </c:pt>
                <c:pt idx="35">
                  <c:v>475</c:v>
                </c:pt>
                <c:pt idx="36">
                  <c:v>480</c:v>
                </c:pt>
                <c:pt idx="37">
                  <c:v>485</c:v>
                </c:pt>
                <c:pt idx="38">
                  <c:v>490</c:v>
                </c:pt>
                <c:pt idx="39">
                  <c:v>495</c:v>
                </c:pt>
                <c:pt idx="40">
                  <c:v>500</c:v>
                </c:pt>
                <c:pt idx="41">
                  <c:v>505</c:v>
                </c:pt>
                <c:pt idx="42">
                  <c:v>510</c:v>
                </c:pt>
                <c:pt idx="43">
                  <c:v>515</c:v>
                </c:pt>
                <c:pt idx="44">
                  <c:v>520</c:v>
                </c:pt>
                <c:pt idx="45">
                  <c:v>525</c:v>
                </c:pt>
                <c:pt idx="46">
                  <c:v>530</c:v>
                </c:pt>
                <c:pt idx="47">
                  <c:v>535</c:v>
                </c:pt>
                <c:pt idx="48">
                  <c:v>540</c:v>
                </c:pt>
                <c:pt idx="49">
                  <c:v>545</c:v>
                </c:pt>
                <c:pt idx="50">
                  <c:v>550</c:v>
                </c:pt>
                <c:pt idx="51">
                  <c:v>555</c:v>
                </c:pt>
                <c:pt idx="52">
                  <c:v>560</c:v>
                </c:pt>
                <c:pt idx="53">
                  <c:v>565</c:v>
                </c:pt>
                <c:pt idx="54">
                  <c:v>570</c:v>
                </c:pt>
                <c:pt idx="55">
                  <c:v>575</c:v>
                </c:pt>
                <c:pt idx="56">
                  <c:v>580</c:v>
                </c:pt>
                <c:pt idx="57">
                  <c:v>585</c:v>
                </c:pt>
                <c:pt idx="58">
                  <c:v>590</c:v>
                </c:pt>
                <c:pt idx="59">
                  <c:v>595</c:v>
                </c:pt>
                <c:pt idx="60">
                  <c:v>600</c:v>
                </c:pt>
                <c:pt idx="61">
                  <c:v>605</c:v>
                </c:pt>
                <c:pt idx="62">
                  <c:v>610</c:v>
                </c:pt>
                <c:pt idx="63">
                  <c:v>615</c:v>
                </c:pt>
                <c:pt idx="64">
                  <c:v>620</c:v>
                </c:pt>
                <c:pt idx="65">
                  <c:v>625</c:v>
                </c:pt>
                <c:pt idx="66">
                  <c:v>630</c:v>
                </c:pt>
                <c:pt idx="67">
                  <c:v>635</c:v>
                </c:pt>
                <c:pt idx="68">
                  <c:v>640</c:v>
                </c:pt>
                <c:pt idx="69">
                  <c:v>645</c:v>
                </c:pt>
                <c:pt idx="70">
                  <c:v>650</c:v>
                </c:pt>
                <c:pt idx="71">
                  <c:v>655</c:v>
                </c:pt>
                <c:pt idx="72">
                  <c:v>660</c:v>
                </c:pt>
                <c:pt idx="73">
                  <c:v>665</c:v>
                </c:pt>
                <c:pt idx="74">
                  <c:v>670</c:v>
                </c:pt>
                <c:pt idx="75">
                  <c:v>675</c:v>
                </c:pt>
                <c:pt idx="76">
                  <c:v>680</c:v>
                </c:pt>
                <c:pt idx="77">
                  <c:v>685</c:v>
                </c:pt>
                <c:pt idx="78">
                  <c:v>690</c:v>
                </c:pt>
                <c:pt idx="79">
                  <c:v>695</c:v>
                </c:pt>
                <c:pt idx="80">
                  <c:v>700</c:v>
                </c:pt>
                <c:pt idx="81">
                  <c:v>705</c:v>
                </c:pt>
                <c:pt idx="82">
                  <c:v>710</c:v>
                </c:pt>
                <c:pt idx="83">
                  <c:v>715</c:v>
                </c:pt>
                <c:pt idx="84">
                  <c:v>720</c:v>
                </c:pt>
                <c:pt idx="85">
                  <c:v>725</c:v>
                </c:pt>
                <c:pt idx="86">
                  <c:v>730</c:v>
                </c:pt>
                <c:pt idx="87">
                  <c:v>735</c:v>
                </c:pt>
                <c:pt idx="88">
                  <c:v>740</c:v>
                </c:pt>
                <c:pt idx="89">
                  <c:v>745</c:v>
                </c:pt>
                <c:pt idx="90">
                  <c:v>750</c:v>
                </c:pt>
                <c:pt idx="91">
                  <c:v>755</c:v>
                </c:pt>
                <c:pt idx="92">
                  <c:v>760</c:v>
                </c:pt>
                <c:pt idx="93">
                  <c:v>765</c:v>
                </c:pt>
                <c:pt idx="94">
                  <c:v>770</c:v>
                </c:pt>
                <c:pt idx="95">
                  <c:v>775</c:v>
                </c:pt>
                <c:pt idx="96">
                  <c:v>780</c:v>
                </c:pt>
              </c:numCache>
            </c:numRef>
          </c:xVal>
          <c:yVal>
            <c:numRef>
              <c:f>Calculations!$L$22:$L$118</c:f>
              <c:numCache>
                <c:formatCode>0%</c:formatCode>
                <c:ptCount val="97"/>
                <c:pt idx="0">
                  <c:v>0</c:v>
                </c:pt>
                <c:pt idx="1">
                  <c:v>0</c:v>
                </c:pt>
                <c:pt idx="2">
                  <c:v>8.6700000000000006E-3</c:v>
                </c:pt>
                <c:pt idx="3">
                  <c:v>2.8962000000000002E-2</c:v>
                </c:pt>
                <c:pt idx="4">
                  <c:v>4.5955000000000003E-2</c:v>
                </c:pt>
                <c:pt idx="5">
                  <c:v>6.0772E-2</c:v>
                </c:pt>
                <c:pt idx="6">
                  <c:v>7.4079999999999993E-2</c:v>
                </c:pt>
                <c:pt idx="7">
                  <c:v>8.5872000000000004E-2</c:v>
                </c:pt>
                <c:pt idx="8">
                  <c:v>9.6294000000000005E-2</c:v>
                </c:pt>
                <c:pt idx="9">
                  <c:v>0.105944</c:v>
                </c:pt>
                <c:pt idx="10">
                  <c:v>0.11473</c:v>
                </c:pt>
                <c:pt idx="11">
                  <c:v>0.12210799999999999</c:v>
                </c:pt>
                <c:pt idx="12">
                  <c:v>0.12740899999999999</c:v>
                </c:pt>
                <c:pt idx="13">
                  <c:v>0.13051599999999999</c:v>
                </c:pt>
                <c:pt idx="14">
                  <c:v>0.131853</c:v>
                </c:pt>
                <c:pt idx="15">
                  <c:v>0.13212199999999999</c:v>
                </c:pt>
                <c:pt idx="16">
                  <c:v>0.131771</c:v>
                </c:pt>
                <c:pt idx="17">
                  <c:v>0.130967</c:v>
                </c:pt>
                <c:pt idx="18">
                  <c:v>0.13048599999999999</c:v>
                </c:pt>
                <c:pt idx="19">
                  <c:v>0.13122900000000001</c:v>
                </c:pt>
                <c:pt idx="20">
                  <c:v>0.13379199999999999</c:v>
                </c:pt>
                <c:pt idx="21">
                  <c:v>0.13888200000000001</c:v>
                </c:pt>
                <c:pt idx="22">
                  <c:v>0.14727999999999999</c:v>
                </c:pt>
                <c:pt idx="23">
                  <c:v>0.15976099999999999</c:v>
                </c:pt>
                <c:pt idx="24">
                  <c:v>0.176986</c:v>
                </c:pt>
                <c:pt idx="25">
                  <c:v>0.19947000000000001</c:v>
                </c:pt>
                <c:pt idx="26">
                  <c:v>0.22776399999999999</c:v>
                </c:pt>
                <c:pt idx="27">
                  <c:v>0.26223999999999997</c:v>
                </c:pt>
                <c:pt idx="28">
                  <c:v>0.302647</c:v>
                </c:pt>
                <c:pt idx="29">
                  <c:v>0.34855000000000003</c:v>
                </c:pt>
                <c:pt idx="30">
                  <c:v>0.39946700000000002</c:v>
                </c:pt>
                <c:pt idx="31">
                  <c:v>0.45490999999999998</c:v>
                </c:pt>
                <c:pt idx="32">
                  <c:v>0.51408399999999999</c:v>
                </c:pt>
                <c:pt idx="33">
                  <c:v>0.57565500000000003</c:v>
                </c:pt>
                <c:pt idx="34">
                  <c:v>0.63848499999999997</c:v>
                </c:pt>
                <c:pt idx="35">
                  <c:v>0.70119699999999996</c:v>
                </c:pt>
                <c:pt idx="36">
                  <c:v>0.76131499999999996</c:v>
                </c:pt>
                <c:pt idx="37">
                  <c:v>0.81740999999999997</c:v>
                </c:pt>
                <c:pt idx="38">
                  <c:v>0.86915399999999998</c:v>
                </c:pt>
                <c:pt idx="39">
                  <c:v>0.91588400000000003</c:v>
                </c:pt>
                <c:pt idx="40">
                  <c:v>0.95524799999999999</c:v>
                </c:pt>
                <c:pt idx="41">
                  <c:v>0.98297900000000005</c:v>
                </c:pt>
                <c:pt idx="42">
                  <c:v>0.99760400000000005</c:v>
                </c:pt>
                <c:pt idx="43">
                  <c:v>0.99875700000000001</c:v>
                </c:pt>
                <c:pt idx="44">
                  <c:v>0.98512999999999995</c:v>
                </c:pt>
                <c:pt idx="45">
                  <c:v>0.956125</c:v>
                </c:pt>
                <c:pt idx="46">
                  <c:v>0.912165</c:v>
                </c:pt>
                <c:pt idx="47">
                  <c:v>0.85488200000000003</c:v>
                </c:pt>
                <c:pt idx="48">
                  <c:v>0.78693400000000002</c:v>
                </c:pt>
                <c:pt idx="49">
                  <c:v>0.71159899999999998</c:v>
                </c:pt>
                <c:pt idx="50">
                  <c:v>0.631803</c:v>
                </c:pt>
                <c:pt idx="51">
                  <c:v>0.55044000000000004</c:v>
                </c:pt>
                <c:pt idx="52">
                  <c:v>0.47053400000000001</c:v>
                </c:pt>
                <c:pt idx="53">
                  <c:v>0.394592</c:v>
                </c:pt>
                <c:pt idx="54">
                  <c:v>0.32446599999999998</c:v>
                </c:pt>
                <c:pt idx="55">
                  <c:v>0.26134000000000002</c:v>
                </c:pt>
                <c:pt idx="56">
                  <c:v>0.205898</c:v>
                </c:pt>
                <c:pt idx="57">
                  <c:v>0.15845899999999999</c:v>
                </c:pt>
                <c:pt idx="58">
                  <c:v>0.119093</c:v>
                </c:pt>
                <c:pt idx="59">
                  <c:v>8.7479000000000001E-2</c:v>
                </c:pt>
                <c:pt idx="60">
                  <c:v>6.2895000000000006E-2</c:v>
                </c:pt>
                <c:pt idx="61">
                  <c:v>4.4357000000000001E-2</c:v>
                </c:pt>
                <c:pt idx="62">
                  <c:v>3.0766000000000002E-2</c:v>
                </c:pt>
                <c:pt idx="63">
                  <c:v>2.1051E-2</c:v>
                </c:pt>
                <c:pt idx="64">
                  <c:v>1.4253999999999999E-2</c:v>
                </c:pt>
                <c:pt idx="65">
                  <c:v>9.5820000000000002E-3</c:v>
                </c:pt>
                <c:pt idx="66">
                  <c:v>6.4180000000000001E-3</c:v>
                </c:pt>
                <c:pt idx="67">
                  <c:v>4.2940000000000001E-3</c:v>
                </c:pt>
                <c:pt idx="68">
                  <c:v>2.872E-3</c:v>
                </c:pt>
                <c:pt idx="69">
                  <c:v>1.923E-3</c:v>
                </c:pt>
                <c:pt idx="70">
                  <c:v>1.2899999999999999E-3</c:v>
                </c:pt>
                <c:pt idx="71">
                  <c:v>8.6899999999999998E-4</c:v>
                </c:pt>
                <c:pt idx="72">
                  <c:v>5.8799999999999998E-4</c:v>
                </c:pt>
                <c:pt idx="73">
                  <c:v>3.9899999999999999E-4</c:v>
                </c:pt>
                <c:pt idx="74">
                  <c:v>2.7099999999999997E-4</c:v>
                </c:pt>
                <c:pt idx="75">
                  <c:v>1.8599999999999999E-4</c:v>
                </c:pt>
                <c:pt idx="76">
                  <c:v>1.2799999999999999E-4</c:v>
                </c:pt>
                <c:pt idx="77">
                  <c:v>8.7999999999999998E-5</c:v>
                </c:pt>
                <c:pt idx="78">
                  <c:v>6.0999999999999999E-5</c:v>
                </c:pt>
                <c:pt idx="79">
                  <c:v>4.3000000000000002E-5</c:v>
                </c:pt>
                <c:pt idx="80">
                  <c:v>3.0000000000000001E-5</c:v>
                </c:pt>
                <c:pt idx="81">
                  <c:v>2.0999999999999999E-5</c:v>
                </c:pt>
                <c:pt idx="82">
                  <c:v>1.5E-5</c:v>
                </c:pt>
                <c:pt idx="83">
                  <c:v>1.1E-5</c:v>
                </c:pt>
                <c:pt idx="84">
                  <c:v>7.9999999999999996E-6</c:v>
                </c:pt>
                <c:pt idx="85">
                  <c:v>5.0000000000000004E-6</c:v>
                </c:pt>
                <c:pt idx="86">
                  <c:v>3.9999999999999998E-6</c:v>
                </c:pt>
                <c:pt idx="87">
                  <c:v>3.0000000000000001E-6</c:v>
                </c:pt>
                <c:pt idx="88">
                  <c:v>1.9999999999999999E-6</c:v>
                </c:pt>
                <c:pt idx="89">
                  <c:v>1.9999999999999999E-6</c:v>
                </c:pt>
                <c:pt idx="90">
                  <c:v>9.9999999999999995E-7</c:v>
                </c:pt>
                <c:pt idx="91">
                  <c:v>9.9999999999999995E-7</c:v>
                </c:pt>
                <c:pt idx="92">
                  <c:v>9.9999999999999995E-7</c:v>
                </c:pt>
                <c:pt idx="93">
                  <c:v>0</c:v>
                </c:pt>
                <c:pt idx="94">
                  <c:v>0</c:v>
                </c:pt>
                <c:pt idx="95">
                  <c:v>0</c:v>
                </c:pt>
                <c:pt idx="96">
                  <c:v>0</c:v>
                </c:pt>
              </c:numCache>
            </c:numRef>
          </c:yVal>
          <c:smooth val="0"/>
          <c:extLst>
            <c:ext xmlns:c16="http://schemas.microsoft.com/office/drawing/2014/chart" uri="{C3380CC4-5D6E-409C-BE32-E72D297353CC}">
              <c16:uniqueId val="{00000003-A305-4171-869B-A57CC9D3D5C8}"/>
            </c:ext>
          </c:extLst>
        </c:ser>
        <c:dLbls>
          <c:showLegendKey val="0"/>
          <c:showVal val="0"/>
          <c:showCatName val="0"/>
          <c:showSerName val="0"/>
          <c:showPercent val="0"/>
          <c:showBubbleSize val="0"/>
        </c:dLbls>
        <c:axId val="322513832"/>
        <c:axId val="322514224"/>
      </c:scatterChart>
      <c:valAx>
        <c:axId val="322513832"/>
        <c:scaling>
          <c:orientation val="minMax"/>
          <c:max val="750"/>
          <c:min val="300"/>
        </c:scaling>
        <c:delete val="0"/>
        <c:axPos val="b"/>
        <c:title>
          <c:tx>
            <c:rich>
              <a:bodyPr/>
              <a:lstStyle/>
              <a:p>
                <a:pPr>
                  <a:defRPr sz="1600" b="1" i="0" u="none" strike="noStrike" baseline="0">
                    <a:solidFill>
                      <a:srgbClr val="000000"/>
                    </a:solidFill>
                    <a:latin typeface="Calibri"/>
                    <a:ea typeface="Calibri"/>
                    <a:cs typeface="Calibri"/>
                  </a:defRPr>
                </a:pPr>
                <a:r>
                  <a:rPr lang="en-GB"/>
                  <a:t>wavelength (nm)</a:t>
                </a:r>
              </a:p>
            </c:rich>
          </c:tx>
          <c:overlay val="0"/>
          <c:spPr>
            <a:noFill/>
            <a:ln w="25400">
              <a:noFill/>
            </a:ln>
          </c:spPr>
        </c:title>
        <c:numFmt formatCode="General" sourceLinked="1"/>
        <c:majorTickMark val="out"/>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322514224"/>
        <c:crossesAt val="1.0000000000000086E-5"/>
        <c:crossBetween val="midCat"/>
        <c:majorUnit val="50"/>
      </c:valAx>
      <c:valAx>
        <c:axId val="322514224"/>
        <c:scaling>
          <c:orientation val="minMax"/>
          <c:max val="1.1000000000000001"/>
          <c:min val="0"/>
        </c:scaling>
        <c:delete val="0"/>
        <c:axPos val="l"/>
        <c:title>
          <c:tx>
            <c:rich>
              <a:bodyPr/>
              <a:lstStyle/>
              <a:p>
                <a:pPr>
                  <a:defRPr sz="1600" b="1" i="0" u="none" strike="noStrike" baseline="0">
                    <a:solidFill>
                      <a:srgbClr val="000000"/>
                    </a:solidFill>
                    <a:latin typeface="Calibri"/>
                    <a:ea typeface="Calibri"/>
                    <a:cs typeface="Calibri"/>
                  </a:defRPr>
                </a:pPr>
                <a:r>
                  <a:rPr lang="en-GB"/>
                  <a:t>relative absorptance</a:t>
                </a:r>
              </a:p>
            </c:rich>
          </c:tx>
          <c:layout>
            <c:manualLayout>
              <c:xMode val="edge"/>
              <c:yMode val="edge"/>
              <c:x val="1.9607791131371743E-2"/>
              <c:y val="0.24057355425991575"/>
            </c:manualLayout>
          </c:layout>
          <c:overlay val="0"/>
          <c:spPr>
            <a:noFill/>
            <a:ln w="25400">
              <a:noFill/>
            </a:ln>
          </c:spPr>
        </c:title>
        <c:numFmt formatCode="0%" sourceLinked="0"/>
        <c:majorTickMark val="out"/>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322513832"/>
        <c:crosses val="autoZero"/>
        <c:crossBetween val="midCat"/>
        <c:majorUnit val="0.25"/>
      </c:valAx>
    </c:plotArea>
    <c:legend>
      <c:legendPos val="r"/>
      <c:legendEntry>
        <c:idx val="1"/>
        <c:txPr>
          <a:bodyPr/>
          <a:lstStyle/>
          <a:p>
            <a:pPr>
              <a:defRPr sz="1200" b="0" i="0" u="none" strike="noStrike" baseline="0">
                <a:solidFill>
                  <a:srgbClr val="000000"/>
                </a:solidFill>
                <a:latin typeface="Calibri"/>
                <a:ea typeface="Calibri"/>
                <a:cs typeface="Calibri"/>
              </a:defRPr>
            </a:pPr>
            <a:endParaRPr lang="en-US"/>
          </a:p>
        </c:txPr>
      </c:legendEntry>
      <c:layout>
        <c:manualLayout>
          <c:xMode val="edge"/>
          <c:yMode val="edge"/>
          <c:x val="0.72288849734124305"/>
          <c:y val="0.18066201993050426"/>
          <c:w val="0.26877215084956485"/>
          <c:h val="0.26802455036631878"/>
        </c:manualLayout>
      </c:layout>
      <c:overlay val="1"/>
      <c:txPr>
        <a:bodyPr/>
        <a:lstStyle/>
        <a:p>
          <a:pPr>
            <a:defRPr sz="1100" b="0" i="0" u="none" strike="noStrike" baseline="0">
              <a:solidFill>
                <a:srgbClr val="000000"/>
              </a:solidFill>
              <a:latin typeface="Calibri"/>
              <a:ea typeface="Calibri"/>
              <a:cs typeface="Calibri"/>
            </a:defRPr>
          </a:pPr>
          <a:endParaRPr lang="en-US"/>
        </a:p>
      </c:txPr>
    </c:legend>
    <c:plotVisOnly val="1"/>
    <c:dispBlanksAs val="gap"/>
    <c:showDLblsOverMax val="0"/>
  </c:chart>
  <c:spPr>
    <a:ln w="9525">
      <a:solidFill>
        <a:schemeClr val="tx1"/>
      </a:solidFill>
    </a:ln>
    <a:effectLst>
      <a:outerShdw blurRad="50800" dist="38100" dir="2700000" algn="tl" rotWithShape="0">
        <a:prstClr val="black">
          <a:alpha val="40000"/>
        </a:prstClr>
      </a:outerShdw>
    </a:effectLst>
  </c:spPr>
  <c:txPr>
    <a:bodyPr/>
    <a:lstStyle/>
    <a:p>
      <a:pPr>
        <a:defRPr sz="1200" b="0" i="0" u="none" strike="noStrike" baseline="0">
          <a:solidFill>
            <a:srgbClr val="000000"/>
          </a:solidFill>
          <a:latin typeface="Calibri"/>
          <a:ea typeface="Calibri"/>
          <a:cs typeface="Calibri"/>
        </a:defRPr>
      </a:pPr>
      <a:endParaRPr lang="en-US"/>
    </a:p>
  </c:txPr>
  <c:printSettings>
    <c:headerFooter/>
    <c:pageMargins b="0.75000000000000311" l="0.70000000000000062" r="0.70000000000000062" t="0.75000000000000311"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11</xdr:col>
      <xdr:colOff>0</xdr:colOff>
      <xdr:row>5</xdr:row>
      <xdr:rowOff>57150</xdr:rowOff>
    </xdr:from>
    <xdr:to>
      <xdr:col>18</xdr:col>
      <xdr:colOff>219075</xdr:colOff>
      <xdr:row>19</xdr:row>
      <xdr:rowOff>123825</xdr:rowOff>
    </xdr:to>
    <xdr:graphicFrame macro="">
      <xdr:nvGraphicFramePr>
        <xdr:cNvPr id="1251" name="Chart 12">
          <a:extLst>
            <a:ext uri="{FF2B5EF4-FFF2-40B4-BE49-F238E27FC236}">
              <a16:creationId xmlns:a16="http://schemas.microsoft.com/office/drawing/2014/main" id="{00000000-0008-0000-0600-0000E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20</xdr:row>
      <xdr:rowOff>57150</xdr:rowOff>
    </xdr:from>
    <xdr:to>
      <xdr:col>18</xdr:col>
      <xdr:colOff>257175</xdr:colOff>
      <xdr:row>35</xdr:row>
      <xdr:rowOff>57150</xdr:rowOff>
    </xdr:to>
    <xdr:graphicFrame macro="">
      <xdr:nvGraphicFramePr>
        <xdr:cNvPr id="1252" name="Chart 13">
          <a:extLst>
            <a:ext uri="{FF2B5EF4-FFF2-40B4-BE49-F238E27FC236}">
              <a16:creationId xmlns:a16="http://schemas.microsoft.com/office/drawing/2014/main" id="{00000000-0008-0000-0600-0000E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19050</xdr:colOff>
      <xdr:row>35</xdr:row>
      <xdr:rowOff>190500</xdr:rowOff>
    </xdr:from>
    <xdr:to>
      <xdr:col>18</xdr:col>
      <xdr:colOff>296333</xdr:colOff>
      <xdr:row>52</xdr:row>
      <xdr:rowOff>137584</xdr:rowOff>
    </xdr:to>
    <xdr:graphicFrame macro="">
      <xdr:nvGraphicFramePr>
        <xdr:cNvPr id="1253" name="Chart 5">
          <a:extLst>
            <a:ext uri="{FF2B5EF4-FFF2-40B4-BE49-F238E27FC236}">
              <a16:creationId xmlns:a16="http://schemas.microsoft.com/office/drawing/2014/main" id="{00000000-0008-0000-0600-0000E5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33CCD-A404-4478-B66A-6A5A5BA164B7}">
  <dimension ref="A1:B98"/>
  <sheetViews>
    <sheetView workbookViewId="0">
      <selection activeCell="G9" sqref="G9"/>
    </sheetView>
  </sheetViews>
  <sheetFormatPr defaultRowHeight="15"/>
  <cols>
    <col min="1" max="16384" width="9.140625" style="212"/>
  </cols>
  <sheetData>
    <row r="1" spans="1:2" ht="15.75" thickBot="1">
      <c r="A1" s="215" t="s">
        <v>1</v>
      </c>
      <c r="B1" s="213" t="s">
        <v>109</v>
      </c>
    </row>
    <row r="2" spans="1:2">
      <c r="A2" s="214">
        <v>300</v>
      </c>
      <c r="B2" s="219"/>
    </row>
    <row r="3" spans="1:2">
      <c r="A3" s="214">
        <v>305</v>
      </c>
      <c r="B3" s="220"/>
    </row>
    <row r="4" spans="1:2">
      <c r="A4" s="214">
        <v>310</v>
      </c>
      <c r="B4" s="220"/>
    </row>
    <row r="5" spans="1:2">
      <c r="A5" s="214">
        <v>315</v>
      </c>
      <c r="B5" s="220"/>
    </row>
    <row r="6" spans="1:2">
      <c r="A6" s="214">
        <v>320</v>
      </c>
      <c r="B6" s="220"/>
    </row>
    <row r="7" spans="1:2">
      <c r="A7" s="214">
        <v>325</v>
      </c>
      <c r="B7" s="220"/>
    </row>
    <row r="8" spans="1:2">
      <c r="A8" s="214">
        <v>330</v>
      </c>
      <c r="B8" s="220"/>
    </row>
    <row r="9" spans="1:2">
      <c r="A9" s="214">
        <v>335</v>
      </c>
      <c r="B9" s="220"/>
    </row>
    <row r="10" spans="1:2">
      <c r="A10" s="214">
        <v>340</v>
      </c>
      <c r="B10" s="220"/>
    </row>
    <row r="11" spans="1:2">
      <c r="A11" s="214">
        <v>345</v>
      </c>
      <c r="B11" s="220"/>
    </row>
    <row r="12" spans="1:2">
      <c r="A12" s="214">
        <v>350</v>
      </c>
      <c r="B12" s="220"/>
    </row>
    <row r="13" spans="1:2">
      <c r="A13" s="214">
        <v>355</v>
      </c>
      <c r="B13" s="220"/>
    </row>
    <row r="14" spans="1:2">
      <c r="A14" s="214">
        <v>360</v>
      </c>
      <c r="B14" s="220"/>
    </row>
    <row r="15" spans="1:2">
      <c r="A15" s="214">
        <v>365</v>
      </c>
      <c r="B15" s="220"/>
    </row>
    <row r="16" spans="1:2">
      <c r="A16" s="214">
        <v>370</v>
      </c>
      <c r="B16" s="220"/>
    </row>
    <row r="17" spans="1:2">
      <c r="A17" s="214">
        <v>375</v>
      </c>
      <c r="B17" s="220"/>
    </row>
    <row r="18" spans="1:2">
      <c r="A18" s="214">
        <v>380</v>
      </c>
      <c r="B18" s="220"/>
    </row>
    <row r="19" spans="1:2">
      <c r="A19" s="214">
        <v>385</v>
      </c>
      <c r="B19" s="220"/>
    </row>
    <row r="20" spans="1:2">
      <c r="A20" s="214">
        <v>390</v>
      </c>
      <c r="B20" s="220"/>
    </row>
    <row r="21" spans="1:2">
      <c r="A21" s="214">
        <v>395</v>
      </c>
      <c r="B21" s="220"/>
    </row>
    <row r="22" spans="1:2">
      <c r="A22" s="214">
        <v>400</v>
      </c>
      <c r="B22" s="220"/>
    </row>
    <row r="23" spans="1:2">
      <c r="A23" s="214">
        <v>405</v>
      </c>
      <c r="B23" s="220"/>
    </row>
    <row r="24" spans="1:2">
      <c r="A24" s="214">
        <v>410</v>
      </c>
      <c r="B24" s="220"/>
    </row>
    <row r="25" spans="1:2">
      <c r="A25" s="214">
        <v>415</v>
      </c>
      <c r="B25" s="220"/>
    </row>
    <row r="26" spans="1:2">
      <c r="A26" s="214">
        <v>420</v>
      </c>
      <c r="B26" s="220"/>
    </row>
    <row r="27" spans="1:2">
      <c r="A27" s="214">
        <v>425</v>
      </c>
      <c r="B27" s="220"/>
    </row>
    <row r="28" spans="1:2">
      <c r="A28" s="214">
        <v>430</v>
      </c>
      <c r="B28" s="220"/>
    </row>
    <row r="29" spans="1:2">
      <c r="A29" s="214">
        <v>435</v>
      </c>
      <c r="B29" s="220"/>
    </row>
    <row r="30" spans="1:2">
      <c r="A30" s="214">
        <v>440</v>
      </c>
      <c r="B30" s="220"/>
    </row>
    <row r="31" spans="1:2">
      <c r="A31" s="214">
        <v>445</v>
      </c>
      <c r="B31" s="220"/>
    </row>
    <row r="32" spans="1:2">
      <c r="A32" s="214">
        <v>450</v>
      </c>
      <c r="B32" s="220"/>
    </row>
    <row r="33" spans="1:2">
      <c r="A33" s="214">
        <v>455</v>
      </c>
      <c r="B33" s="220"/>
    </row>
    <row r="34" spans="1:2">
      <c r="A34" s="214">
        <v>460</v>
      </c>
      <c r="B34" s="220"/>
    </row>
    <row r="35" spans="1:2">
      <c r="A35" s="214">
        <v>465</v>
      </c>
      <c r="B35" s="220"/>
    </row>
    <row r="36" spans="1:2">
      <c r="A36" s="214">
        <v>470</v>
      </c>
      <c r="B36" s="220"/>
    </row>
    <row r="37" spans="1:2">
      <c r="A37" s="214">
        <v>475</v>
      </c>
      <c r="B37" s="220"/>
    </row>
    <row r="38" spans="1:2">
      <c r="A38" s="214">
        <v>480</v>
      </c>
      <c r="B38" s="220"/>
    </row>
    <row r="39" spans="1:2">
      <c r="A39" s="214">
        <v>485</v>
      </c>
      <c r="B39" s="220"/>
    </row>
    <row r="40" spans="1:2">
      <c r="A40" s="214">
        <v>490</v>
      </c>
      <c r="B40" s="220"/>
    </row>
    <row r="41" spans="1:2">
      <c r="A41" s="214">
        <v>495</v>
      </c>
      <c r="B41" s="220"/>
    </row>
    <row r="42" spans="1:2">
      <c r="A42" s="214">
        <v>500</v>
      </c>
      <c r="B42" s="220"/>
    </row>
    <row r="43" spans="1:2">
      <c r="A43" s="214">
        <v>505</v>
      </c>
      <c r="B43" s="220"/>
    </row>
    <row r="44" spans="1:2">
      <c r="A44" s="214">
        <v>510</v>
      </c>
      <c r="B44" s="220"/>
    </row>
    <row r="45" spans="1:2">
      <c r="A45" s="214">
        <v>515</v>
      </c>
      <c r="B45" s="220"/>
    </row>
    <row r="46" spans="1:2">
      <c r="A46" s="214">
        <v>520</v>
      </c>
      <c r="B46" s="220"/>
    </row>
    <row r="47" spans="1:2">
      <c r="A47" s="214">
        <v>525</v>
      </c>
      <c r="B47" s="220"/>
    </row>
    <row r="48" spans="1:2">
      <c r="A48" s="214">
        <v>530</v>
      </c>
      <c r="B48" s="220"/>
    </row>
    <row r="49" spans="1:2">
      <c r="A49" s="214">
        <v>535</v>
      </c>
      <c r="B49" s="220"/>
    </row>
    <row r="50" spans="1:2">
      <c r="A50" s="214">
        <v>540</v>
      </c>
      <c r="B50" s="220"/>
    </row>
    <row r="51" spans="1:2">
      <c r="A51" s="214">
        <v>545</v>
      </c>
      <c r="B51" s="220"/>
    </row>
    <row r="52" spans="1:2">
      <c r="A52" s="214">
        <v>550</v>
      </c>
      <c r="B52" s="220"/>
    </row>
    <row r="53" spans="1:2">
      <c r="A53" s="214">
        <v>555</v>
      </c>
      <c r="B53" s="220"/>
    </row>
    <row r="54" spans="1:2">
      <c r="A54" s="214">
        <v>560</v>
      </c>
      <c r="B54" s="220"/>
    </row>
    <row r="55" spans="1:2">
      <c r="A55" s="214">
        <v>565</v>
      </c>
      <c r="B55" s="220"/>
    </row>
    <row r="56" spans="1:2">
      <c r="A56" s="214">
        <v>570</v>
      </c>
      <c r="B56" s="220"/>
    </row>
    <row r="57" spans="1:2">
      <c r="A57" s="214">
        <v>575</v>
      </c>
      <c r="B57" s="220"/>
    </row>
    <row r="58" spans="1:2">
      <c r="A58" s="214">
        <v>580</v>
      </c>
      <c r="B58" s="220"/>
    </row>
    <row r="59" spans="1:2">
      <c r="A59" s="214">
        <v>585</v>
      </c>
      <c r="B59" s="220"/>
    </row>
    <row r="60" spans="1:2">
      <c r="A60" s="214">
        <v>590</v>
      </c>
      <c r="B60" s="220"/>
    </row>
    <row r="61" spans="1:2">
      <c r="A61" s="214">
        <v>595</v>
      </c>
      <c r="B61" s="220"/>
    </row>
    <row r="62" spans="1:2">
      <c r="A62" s="214">
        <v>600</v>
      </c>
      <c r="B62" s="220"/>
    </row>
    <row r="63" spans="1:2">
      <c r="A63" s="214">
        <v>605</v>
      </c>
      <c r="B63" s="220"/>
    </row>
    <row r="64" spans="1:2">
      <c r="A64" s="214">
        <v>610</v>
      </c>
      <c r="B64" s="220"/>
    </row>
    <row r="65" spans="1:2">
      <c r="A65" s="214">
        <v>615</v>
      </c>
      <c r="B65" s="220"/>
    </row>
    <row r="66" spans="1:2">
      <c r="A66" s="214">
        <v>620</v>
      </c>
      <c r="B66" s="220"/>
    </row>
    <row r="67" spans="1:2">
      <c r="A67" s="214">
        <v>625</v>
      </c>
      <c r="B67" s="220"/>
    </row>
    <row r="68" spans="1:2">
      <c r="A68" s="214">
        <v>630</v>
      </c>
      <c r="B68" s="220"/>
    </row>
    <row r="69" spans="1:2">
      <c r="A69" s="214">
        <v>635</v>
      </c>
      <c r="B69" s="220"/>
    </row>
    <row r="70" spans="1:2">
      <c r="A70" s="214">
        <v>640</v>
      </c>
      <c r="B70" s="220"/>
    </row>
    <row r="71" spans="1:2">
      <c r="A71" s="214">
        <v>645</v>
      </c>
      <c r="B71" s="220"/>
    </row>
    <row r="72" spans="1:2">
      <c r="A72" s="214">
        <v>650</v>
      </c>
      <c r="B72" s="220"/>
    </row>
    <row r="73" spans="1:2">
      <c r="A73" s="214">
        <v>655</v>
      </c>
      <c r="B73" s="220"/>
    </row>
    <row r="74" spans="1:2">
      <c r="A74" s="214">
        <v>660</v>
      </c>
      <c r="B74" s="220"/>
    </row>
    <row r="75" spans="1:2">
      <c r="A75" s="214">
        <v>665</v>
      </c>
      <c r="B75" s="220"/>
    </row>
    <row r="76" spans="1:2">
      <c r="A76" s="214">
        <v>670</v>
      </c>
      <c r="B76" s="220"/>
    </row>
    <row r="77" spans="1:2">
      <c r="A77" s="214">
        <v>675</v>
      </c>
      <c r="B77" s="220"/>
    </row>
    <row r="78" spans="1:2">
      <c r="A78" s="214">
        <v>680</v>
      </c>
      <c r="B78" s="220"/>
    </row>
    <row r="79" spans="1:2">
      <c r="A79" s="214">
        <v>685</v>
      </c>
      <c r="B79" s="220"/>
    </row>
    <row r="80" spans="1:2">
      <c r="A80" s="214">
        <v>690</v>
      </c>
      <c r="B80" s="220"/>
    </row>
    <row r="81" spans="1:2">
      <c r="A81" s="214">
        <v>695</v>
      </c>
      <c r="B81" s="220"/>
    </row>
    <row r="82" spans="1:2">
      <c r="A82" s="214">
        <v>700</v>
      </c>
      <c r="B82" s="220"/>
    </row>
    <row r="83" spans="1:2">
      <c r="A83" s="214">
        <v>705</v>
      </c>
      <c r="B83" s="220"/>
    </row>
    <row r="84" spans="1:2">
      <c r="A84" s="214">
        <v>710</v>
      </c>
      <c r="B84" s="220"/>
    </row>
    <row r="85" spans="1:2">
      <c r="A85" s="214">
        <v>715</v>
      </c>
      <c r="B85" s="220"/>
    </row>
    <row r="86" spans="1:2">
      <c r="A86" s="214">
        <v>720</v>
      </c>
      <c r="B86" s="220"/>
    </row>
    <row r="87" spans="1:2">
      <c r="A87" s="214">
        <v>725</v>
      </c>
      <c r="B87" s="220"/>
    </row>
    <row r="88" spans="1:2">
      <c r="A88" s="214">
        <v>730</v>
      </c>
      <c r="B88" s="220"/>
    </row>
    <row r="89" spans="1:2">
      <c r="A89" s="214">
        <v>735</v>
      </c>
      <c r="B89" s="220"/>
    </row>
    <row r="90" spans="1:2">
      <c r="A90" s="214">
        <v>740</v>
      </c>
      <c r="B90" s="220"/>
    </row>
    <row r="91" spans="1:2">
      <c r="A91" s="214">
        <v>745</v>
      </c>
      <c r="B91" s="220"/>
    </row>
    <row r="92" spans="1:2">
      <c r="A92" s="214">
        <v>750</v>
      </c>
      <c r="B92" s="220"/>
    </row>
    <row r="93" spans="1:2">
      <c r="A93" s="214">
        <v>755</v>
      </c>
      <c r="B93" s="220"/>
    </row>
    <row r="94" spans="1:2">
      <c r="A94" s="214">
        <v>760</v>
      </c>
      <c r="B94" s="220"/>
    </row>
    <row r="95" spans="1:2">
      <c r="A95" s="214">
        <v>765</v>
      </c>
      <c r="B95" s="220"/>
    </row>
    <row r="96" spans="1:2">
      <c r="A96" s="214">
        <v>770</v>
      </c>
      <c r="B96" s="220"/>
    </row>
    <row r="97" spans="1:2">
      <c r="A97" s="214">
        <v>775</v>
      </c>
      <c r="B97" s="220"/>
    </row>
    <row r="98" spans="1:2" ht="15.75" thickBot="1">
      <c r="A98" s="214">
        <v>780</v>
      </c>
      <c r="B98" s="22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dimension ref="A1:AJ496"/>
  <sheetViews>
    <sheetView tabSelected="1" zoomScale="90" zoomScaleNormal="90" workbookViewId="0">
      <selection activeCell="A2" sqref="A2"/>
    </sheetView>
  </sheetViews>
  <sheetFormatPr defaultColWidth="9.140625" defaultRowHeight="15"/>
  <cols>
    <col min="1" max="1" width="9.140625" style="1"/>
    <col min="2" max="2" width="10.28515625" style="2" customWidth="1"/>
    <col min="3" max="3" width="9.140625" style="2"/>
    <col min="4" max="4" width="18.140625" style="2" customWidth="1"/>
    <col min="5" max="5" width="13.5703125" style="2" customWidth="1"/>
    <col min="6" max="6" width="9.7109375" style="2" bestFit="1" customWidth="1"/>
    <col min="7" max="7" width="10.42578125" style="2" customWidth="1"/>
    <col min="8" max="8" width="9.140625" style="2"/>
    <col min="9" max="9" width="18.140625" style="2" customWidth="1"/>
    <col min="10" max="10" width="14.5703125" style="177" customWidth="1"/>
    <col min="11" max="11" width="14.28515625" style="2" customWidth="1"/>
    <col min="12" max="19" width="9.140625" style="2"/>
    <col min="20" max="20" width="9.42578125" style="3" customWidth="1"/>
    <col min="21" max="21" width="9.5703125" style="3" bestFit="1" customWidth="1"/>
    <col min="22" max="22" width="18.140625" style="2" customWidth="1"/>
    <col min="23" max="23" width="9.28515625" style="3" bestFit="1" customWidth="1"/>
    <col min="24" max="24" width="9.42578125" style="2" bestFit="1" customWidth="1"/>
    <col min="25" max="25" width="13.28515625" style="2" bestFit="1" customWidth="1"/>
    <col min="26" max="26" width="9.42578125" style="2" bestFit="1" customWidth="1"/>
    <col min="27" max="27" width="9.28515625" style="2" bestFit="1" customWidth="1"/>
    <col min="28" max="28" width="9.28515625" style="3" bestFit="1" customWidth="1"/>
    <col min="29" max="29" width="9.42578125" style="2" bestFit="1" customWidth="1"/>
    <col min="30" max="30" width="9.28515625" style="2" bestFit="1" customWidth="1"/>
    <col min="31" max="16384" width="9.140625" style="2"/>
  </cols>
  <sheetData>
    <row r="1" spans="1:36">
      <c r="X1" s="4"/>
    </row>
    <row r="2" spans="1:36" ht="33.75">
      <c r="B2" s="70" t="s">
        <v>182</v>
      </c>
      <c r="D2" s="5"/>
      <c r="R2" s="71"/>
      <c r="U2" s="70"/>
      <c r="AB2" s="63"/>
      <c r="AE2" s="71"/>
      <c r="AF2" s="71"/>
    </row>
    <row r="3" spans="1:36" ht="15.75" thickBot="1">
      <c r="G3" s="3"/>
      <c r="H3" s="3"/>
      <c r="I3" s="3"/>
      <c r="J3" s="178"/>
    </row>
    <row r="4" spans="1:36" ht="16.5" thickBot="1">
      <c r="B4" s="7" t="s">
        <v>28</v>
      </c>
      <c r="D4" s="204"/>
      <c r="E4" s="205"/>
      <c r="F4" s="205"/>
      <c r="G4" s="205"/>
      <c r="H4" s="205"/>
      <c r="I4" s="206"/>
      <c r="J4" s="179"/>
      <c r="L4" s="7" t="s">
        <v>81</v>
      </c>
      <c r="N4" s="62" t="s">
        <v>97</v>
      </c>
      <c r="O4" s="207" t="s">
        <v>17</v>
      </c>
      <c r="P4" s="208"/>
      <c r="R4" s="51"/>
      <c r="U4" s="209"/>
      <c r="V4" s="210"/>
      <c r="W4" s="211"/>
      <c r="X4" s="211"/>
      <c r="Y4" s="211"/>
      <c r="Z4" s="211"/>
      <c r="AA4" s="211"/>
      <c r="AB4" s="211"/>
      <c r="AC4" s="211"/>
      <c r="AD4" s="210"/>
      <c r="AE4" s="210"/>
      <c r="AF4" s="51"/>
    </row>
    <row r="5" spans="1:36" ht="16.5" thickBot="1">
      <c r="L5" s="9"/>
    </row>
    <row r="6" spans="1:36" ht="16.5" thickBot="1">
      <c r="A6" s="10" t="s">
        <v>22</v>
      </c>
      <c r="B6" s="7" t="s">
        <v>91</v>
      </c>
      <c r="D6" s="58" t="s">
        <v>176</v>
      </c>
      <c r="L6" s="12"/>
      <c r="T6" s="64"/>
      <c r="V6" s="65"/>
      <c r="W6" s="66"/>
      <c r="Y6" s="66"/>
      <c r="Z6" s="66"/>
      <c r="AA6" s="66"/>
      <c r="AB6" s="66"/>
    </row>
    <row r="7" spans="1:36" ht="15.75">
      <c r="D7" s="75" t="str">
        <f>"i. "&amp;IF($D$6&lt;&gt;"approximate mode","Enter spectral power distribution in column AH","Select illuminant details below")</f>
        <v>i. Select illuminant details below</v>
      </c>
      <c r="K7" s="12"/>
      <c r="L7" s="13"/>
      <c r="V7" s="3"/>
      <c r="W7" s="2"/>
      <c r="AB7" s="2"/>
    </row>
    <row r="8" spans="1:36" ht="15.75">
      <c r="C8" s="14"/>
      <c r="D8" s="75" t="str">
        <f>"ii. "&amp;IF($D$6="1nm spectral data","Check using the chart opposite that the data is 1nm resolution",IF($D$6="5nm spectral data","Check using the chart opposite that the data is 5nm resolution","Example spectra A, D, F and L are not necessarily representative"))</f>
        <v>ii. Example spectra A, D, F and L are not necessarily representative</v>
      </c>
      <c r="K8" s="12"/>
      <c r="L8" s="13"/>
      <c r="T8" s="67"/>
      <c r="W8" s="2"/>
      <c r="AB8" s="2"/>
    </row>
    <row r="9" spans="1:36" ht="15.75">
      <c r="D9" s="75" t="str">
        <f>"iii. "&amp;IF($D$6&lt;&gt;"approximate mode","Skip sections 2 and 3: these inputs are not applicable in this mode","Consider enterring 1nm or 5nm spectral data for more accurate results")</f>
        <v>iii. Consider enterring 1nm or 5nm spectral data for more accurate results</v>
      </c>
      <c r="K9" s="12"/>
      <c r="L9" s="17"/>
      <c r="T9" s="15"/>
      <c r="U9" s="64" t="s">
        <v>99</v>
      </c>
      <c r="W9" s="2"/>
      <c r="X9" s="63" t="s">
        <v>100</v>
      </c>
      <c r="AB9" s="2"/>
      <c r="AC9" s="63" t="s">
        <v>98</v>
      </c>
      <c r="AH9" s="64" t="s">
        <v>111</v>
      </c>
    </row>
    <row r="10" spans="1:36" ht="15.75">
      <c r="K10" s="22"/>
      <c r="L10" s="23"/>
      <c r="T10" s="15"/>
      <c r="W10" s="2"/>
      <c r="AB10" s="2"/>
    </row>
    <row r="11" spans="1:36" ht="16.5" thickBot="1">
      <c r="A11" s="10" t="s">
        <v>21</v>
      </c>
      <c r="B11" s="7" t="s">
        <v>53</v>
      </c>
      <c r="K11" s="22"/>
      <c r="L11" s="23"/>
      <c r="T11" s="15"/>
      <c r="U11" s="67" t="s">
        <v>1</v>
      </c>
      <c r="V11" s="68" t="s">
        <v>109</v>
      </c>
      <c r="W11" s="2"/>
      <c r="X11" s="67" t="s">
        <v>1</v>
      </c>
      <c r="Y11" s="67" t="s">
        <v>0</v>
      </c>
      <c r="Z11" s="67" t="s">
        <v>2</v>
      </c>
      <c r="AA11" s="67" t="s">
        <v>110</v>
      </c>
      <c r="AB11" s="2"/>
      <c r="AC11" s="67" t="s">
        <v>1</v>
      </c>
      <c r="AD11" s="67" t="s">
        <v>143</v>
      </c>
      <c r="AE11" s="69" t="str">
        <f>$O$4</f>
        <v>Melanopsin</v>
      </c>
      <c r="AF11" s="69" t="s">
        <v>142</v>
      </c>
      <c r="AH11" s="67" t="s">
        <v>1</v>
      </c>
      <c r="AI11" s="68" t="s">
        <v>109</v>
      </c>
    </row>
    <row r="12" spans="1:36" ht="16.5" thickBot="1">
      <c r="C12" s="73" t="s">
        <v>116</v>
      </c>
      <c r="D12" s="59" t="s">
        <v>12</v>
      </c>
      <c r="E12" s="19" t="str">
        <f>"  "&amp;IF($D$6&lt;&gt;"approximate mode","n/a",IF(D12="D","daylight",IF(D12="F","fluorescent",IF(D12="L","white LED",IF(D12="A","incandescent",IF(D12="N","narrowband/monochromatic",IF(D12="B","blackbody","equal energy illuminant")))))))</f>
        <v xml:space="preserve">  daylight</v>
      </c>
      <c r="G12" s="20"/>
      <c r="H12" s="21"/>
      <c r="I12" s="73"/>
      <c r="J12" s="180"/>
      <c r="K12" s="22"/>
      <c r="L12" s="23"/>
      <c r="T12" s="15"/>
      <c r="U12" s="15">
        <v>300</v>
      </c>
      <c r="V12" s="3">
        <f t="shared" ref="V12:V43" si="0">VLOOKUP($U12,$AH$12:$AJ$496,IF($D$6="1nm spectral data",3,2),0)</f>
        <v>0</v>
      </c>
      <c r="W12" s="2"/>
      <c r="X12" s="15">
        <v>300</v>
      </c>
      <c r="Y12" s="3">
        <f>Calculations!$C$11*Calculations!$C22*Calculations!$M22*SPD!$C$9</f>
        <v>0</v>
      </c>
      <c r="Z12" s="3">
        <f>Calculations!$C$11*Calculations!$C22</f>
        <v>2.3623228503692238E-4</v>
      </c>
      <c r="AA12" s="18">
        <f>Calculations!$C$11*Calculations!$C22*$X12*SPD!$C$10</f>
        <v>356766289.19668728</v>
      </c>
      <c r="AB12" s="2"/>
      <c r="AC12" s="15">
        <v>300</v>
      </c>
      <c r="AD12" s="2">
        <f>Calculations!$C$11*Calculations!$C22</f>
        <v>2.3623228503692238E-4</v>
      </c>
      <c r="AE12" s="2">
        <f>HLOOKUP($O$4,Calculations!$I$21:$AG$118,ROW()-10,FALSE)*5</f>
        <v>0</v>
      </c>
      <c r="AF12" s="2">
        <f>AD12*AE12/MAX(AE$12:AE$108)</f>
        <v>0</v>
      </c>
      <c r="AH12" s="2">
        <f t="shared" ref="AH12:AH75" si="1">IF(ROW()&gt;IF($D$6="1nm spectral data",496,108),"",IF($D$6="1nm spectral data",298,300)+IF($D$6="1nm spectral data",1,5)*(ROW()-ROW($AH$12)))</f>
        <v>300</v>
      </c>
      <c r="AI12" s="216">
        <f>INPUT!B2</f>
        <v>0</v>
      </c>
    </row>
    <row r="13" spans="1:36" ht="16.5" thickBot="1">
      <c r="A13" s="10"/>
      <c r="C13" s="73" t="s">
        <v>117</v>
      </c>
      <c r="D13" s="59" t="s">
        <v>101</v>
      </c>
      <c r="E13" s="19" t="str">
        <f>"  "&amp;IF($D$6&lt;&gt;"approximate mode","n/a",IF(D13="L","illuminance",IF(D13="P","irradiance",IF(D13="Q","log (photon flux)",""))))</f>
        <v xml:space="preserve">  illuminance</v>
      </c>
      <c r="F13" s="20"/>
      <c r="K13" s="12"/>
      <c r="L13" s="23"/>
      <c r="T13" s="15"/>
      <c r="U13" s="15">
        <v>305</v>
      </c>
      <c r="V13" s="3">
        <f t="shared" si="0"/>
        <v>0</v>
      </c>
      <c r="W13" s="2"/>
      <c r="X13" s="15">
        <v>305</v>
      </c>
      <c r="Y13" s="3">
        <f>Calculations!$C$11*Calculations!$C23*Calculations!$M23*SPD!$C$9</f>
        <v>0</v>
      </c>
      <c r="Z13" s="3">
        <f>Calculations!$C$11*Calculations!$C23</f>
        <v>1.1529659589060114E-2</v>
      </c>
      <c r="AA13" s="18">
        <f>Calculations!$C$11*Calculations!$C23*$X13*SPD!$C$10</f>
        <v>17702704907.973042</v>
      </c>
      <c r="AB13" s="2"/>
      <c r="AC13" s="15">
        <v>305</v>
      </c>
      <c r="AD13" s="2">
        <f>Calculations!$C$11*Calculations!$C23</f>
        <v>1.1529659589060114E-2</v>
      </c>
      <c r="AE13" s="2">
        <f>HLOOKUP($O$4,Calculations!$I$21:$AG$118,ROW()-10,FALSE)*5</f>
        <v>0</v>
      </c>
      <c r="AF13" s="2">
        <f t="shared" ref="AF13:AF76" si="2">AD13*AE13/MAX(AE$12:AE$108)</f>
        <v>0</v>
      </c>
      <c r="AH13" s="2">
        <f t="shared" si="1"/>
        <v>305</v>
      </c>
      <c r="AI13" s="217">
        <f>INPUT!B3</f>
        <v>0</v>
      </c>
    </row>
    <row r="14" spans="1:36" ht="16.5" thickBot="1">
      <c r="A14" s="10"/>
      <c r="C14" s="73" t="s">
        <v>118</v>
      </c>
      <c r="D14" s="61">
        <v>100</v>
      </c>
      <c r="E14" s="11" t="str">
        <f>"  "&amp;IF($D$6&lt;&gt;"approximate mode","n/a",IF($D$13="Q","log"&amp;G14&amp;" (1/cm"&amp;H14&amp;"/s)",IF($D$13="L","lux",I14&amp;"W/cm"&amp;H14)))</f>
        <v xml:space="preserve">  lux</v>
      </c>
      <c r="F14" s="14"/>
      <c r="G14" s="171"/>
      <c r="H14" s="74" t="s">
        <v>103</v>
      </c>
      <c r="I14" s="76" t="s">
        <v>108</v>
      </c>
      <c r="J14" s="181"/>
      <c r="K14" s="20"/>
      <c r="L14" s="23"/>
      <c r="T14" s="15"/>
      <c r="U14" s="15">
        <v>310</v>
      </c>
      <c r="V14" s="3">
        <f t="shared" si="0"/>
        <v>0</v>
      </c>
      <c r="W14" s="2"/>
      <c r="X14" s="15">
        <v>310</v>
      </c>
      <c r="Y14" s="3">
        <f>Calculations!$C$11*Calculations!$C24*Calculations!$M24*SPD!$C$9</f>
        <v>0</v>
      </c>
      <c r="Z14" s="3">
        <f>Calculations!$C$11*Calculations!$C24</f>
        <v>2.2823086893083312E-2</v>
      </c>
      <c r="AA14" s="18">
        <f>Calculations!$C$11*Calculations!$C24*$X14*SPD!$C$10</f>
        <v>35617167871.469284</v>
      </c>
      <c r="AB14" s="2"/>
      <c r="AC14" s="15">
        <v>310</v>
      </c>
      <c r="AD14" s="2">
        <f>Calculations!$C$11*Calculations!$C24</f>
        <v>2.2823086893083312E-2</v>
      </c>
      <c r="AE14" s="2">
        <f>HLOOKUP($O$4,Calculations!$I$21:$AG$118,ROW()-10,FALSE)*5</f>
        <v>5.3429999999999998E-2</v>
      </c>
      <c r="AF14" s="2">
        <f t="shared" si="2"/>
        <v>2.43913361355792E-4</v>
      </c>
      <c r="AH14" s="2">
        <f t="shared" si="1"/>
        <v>310</v>
      </c>
      <c r="AI14" s="217">
        <f>INPUT!B4</f>
        <v>0</v>
      </c>
      <c r="AJ14" s="72" t="str">
        <f t="shared" ref="AJ14:AJ45" si="3">IF(AND($D$6="1nm spectral data",$AH14&lt;&gt;""),IF($AH14/5=INT($AH14/5),SUM($AI12:$AI16),""),"")</f>
        <v/>
      </c>
    </row>
    <row r="15" spans="1:36" ht="15.75">
      <c r="A15" s="10"/>
      <c r="J15" s="200"/>
      <c r="K15" s="13"/>
      <c r="L15" s="12"/>
      <c r="T15" s="15"/>
      <c r="U15" s="15">
        <v>315</v>
      </c>
      <c r="V15" s="3">
        <f t="shared" si="0"/>
        <v>0</v>
      </c>
      <c r="W15" s="2"/>
      <c r="X15" s="15">
        <v>315</v>
      </c>
      <c r="Y15" s="3">
        <f>Calculations!$C$11*Calculations!$C25*Calculations!$M25*SPD!$C$9</f>
        <v>0</v>
      </c>
      <c r="Z15" s="3">
        <f>Calculations!$C$11*Calculations!$C25</f>
        <v>8.1504987680832822E-2</v>
      </c>
      <c r="AA15" s="18">
        <f>Calculations!$C$11*Calculations!$C25*$X15*SPD!$C$10</f>
        <v>129246278092.07356</v>
      </c>
      <c r="AB15" s="2"/>
      <c r="AC15" s="15">
        <v>315</v>
      </c>
      <c r="AD15" s="2">
        <f>Calculations!$C$11*Calculations!$C25</f>
        <v>8.1504987680832822E-2</v>
      </c>
      <c r="AE15" s="2">
        <f>HLOOKUP($O$4,Calculations!$I$21:$AG$118,ROW()-10,FALSE)*5</f>
        <v>0.17728500000000003</v>
      </c>
      <c r="AF15" s="2">
        <f t="shared" si="2"/>
        <v>2.8902287124428091E-3</v>
      </c>
      <c r="AH15" s="2">
        <f t="shared" si="1"/>
        <v>315</v>
      </c>
      <c r="AI15" s="217">
        <f>INPUT!B5</f>
        <v>0</v>
      </c>
      <c r="AJ15" s="72" t="str">
        <f t="shared" si="3"/>
        <v/>
      </c>
    </row>
    <row r="16" spans="1:36" ht="16.5" thickBot="1">
      <c r="A16" s="10" t="s">
        <v>20</v>
      </c>
      <c r="B16" s="7" t="s">
        <v>95</v>
      </c>
      <c r="K16" s="20"/>
      <c r="L16" s="12"/>
      <c r="T16" s="15"/>
      <c r="U16" s="15">
        <v>320</v>
      </c>
      <c r="V16" s="3">
        <f t="shared" si="0"/>
        <v>0</v>
      </c>
      <c r="W16" s="2"/>
      <c r="X16" s="15">
        <v>320</v>
      </c>
      <c r="Y16" s="3">
        <f>Calculations!$C$11*Calculations!$C26*Calculations!$M26*SPD!$C$9</f>
        <v>0</v>
      </c>
      <c r="Z16" s="3">
        <f>Calculations!$C$11*Calculations!$C26</f>
        <v>0.14018758123188158</v>
      </c>
      <c r="AA16" s="18">
        <f>Calculations!$C$11*Calculations!$C26*$X16*SPD!$C$10</f>
        <v>225830619845.44797</v>
      </c>
      <c r="AB16" s="2"/>
      <c r="AC16" s="15">
        <v>320</v>
      </c>
      <c r="AD16" s="2">
        <f>Calculations!$C$11*Calculations!$C26</f>
        <v>0.14018758123188158</v>
      </c>
      <c r="AE16" s="2">
        <f>HLOOKUP($O$4,Calculations!$I$21:$AG$118,ROW()-10,FALSE)*5</f>
        <v>0.278665</v>
      </c>
      <c r="AF16" s="2">
        <f t="shared" si="2"/>
        <v>7.8139027384867363E-3</v>
      </c>
      <c r="AH16" s="2">
        <f t="shared" si="1"/>
        <v>320</v>
      </c>
      <c r="AI16" s="217">
        <f>INPUT!B6</f>
        <v>0</v>
      </c>
      <c r="AJ16" s="72" t="str">
        <f t="shared" si="3"/>
        <v/>
      </c>
    </row>
    <row r="17" spans="1:36" ht="16.5" thickBot="1">
      <c r="A17" s="10"/>
      <c r="C17" s="73" t="s">
        <v>113</v>
      </c>
      <c r="D17" s="60">
        <v>2856</v>
      </c>
      <c r="E17" s="19" t="str">
        <f>"  "&amp;IF($D$12="B","K","n/a")</f>
        <v xml:space="preserve">  n/a</v>
      </c>
      <c r="F17" s="7"/>
      <c r="K17" s="20"/>
      <c r="L17" s="12"/>
      <c r="T17" s="15"/>
      <c r="U17" s="15">
        <v>325</v>
      </c>
      <c r="V17" s="3">
        <f t="shared" si="0"/>
        <v>0</v>
      </c>
      <c r="W17" s="2"/>
      <c r="X17" s="15">
        <v>325</v>
      </c>
      <c r="Y17" s="3">
        <f>Calculations!$C$11*Calculations!$C27*Calculations!$M27*SPD!$C$9</f>
        <v>0</v>
      </c>
      <c r="Z17" s="3">
        <f>Calculations!$C$11*Calculations!$C27</f>
        <v>0.19843996877410944</v>
      </c>
      <c r="AA17" s="18">
        <f>Calculations!$C$11*Calculations!$C27*$X17*SPD!$C$10</f>
        <v>324665257121.16455</v>
      </c>
      <c r="AB17" s="2"/>
      <c r="AC17" s="15">
        <v>325</v>
      </c>
      <c r="AD17" s="2">
        <f>Calculations!$C$11*Calculations!$C27</f>
        <v>0.19843996877410944</v>
      </c>
      <c r="AE17" s="2">
        <f>HLOOKUP($O$4,Calculations!$I$21:$AG$118,ROW()-10,FALSE)*5</f>
        <v>0.36415500000000001</v>
      </c>
      <c r="AF17" s="2">
        <f t="shared" si="2"/>
        <v>1.4454113501818359E-2</v>
      </c>
      <c r="AH17" s="2">
        <f t="shared" si="1"/>
        <v>325</v>
      </c>
      <c r="AI17" s="217">
        <f>INPUT!B7</f>
        <v>0</v>
      </c>
      <c r="AJ17" s="72" t="str">
        <f t="shared" si="3"/>
        <v/>
      </c>
    </row>
    <row r="18" spans="1:36" ht="16.5" thickBot="1">
      <c r="A18" s="10"/>
      <c r="C18" s="73" t="s">
        <v>114</v>
      </c>
      <c r="D18" s="60">
        <v>608</v>
      </c>
      <c r="E18" s="19" t="str">
        <f>"  "&amp;IF($D$12="N","nm","n/a")</f>
        <v xml:space="preserve">  n/a</v>
      </c>
      <c r="F18" s="7"/>
      <c r="G18" s="17"/>
      <c r="H18" s="24"/>
      <c r="I18" s="22" t="s">
        <v>1</v>
      </c>
      <c r="J18" s="182"/>
      <c r="T18" s="15"/>
      <c r="U18" s="15">
        <v>330</v>
      </c>
      <c r="V18" s="3">
        <f t="shared" si="0"/>
        <v>0</v>
      </c>
      <c r="W18" s="2"/>
      <c r="X18" s="15">
        <v>330</v>
      </c>
      <c r="Y18" s="3">
        <f>Calculations!$C$11*Calculations!$C28*Calculations!$M28*SPD!$C$9</f>
        <v>0</v>
      </c>
      <c r="Z18" s="3">
        <f>Calculations!$C$11*Calculations!$C28</f>
        <v>0.25669304907963653</v>
      </c>
      <c r="AA18" s="18">
        <f>Calculations!$C$11*Calculations!$C28*$X18*SPD!$C$10</f>
        <v>426433538604.82111</v>
      </c>
      <c r="AB18" s="2"/>
      <c r="AC18" s="15">
        <v>330</v>
      </c>
      <c r="AD18" s="2">
        <f>Calculations!$C$11*Calculations!$C28</f>
        <v>0.25669304907963653</v>
      </c>
      <c r="AE18" s="2">
        <f>HLOOKUP($O$4,Calculations!$I$21:$AG$118,ROW()-10,FALSE)*5</f>
        <v>0.43770000000000003</v>
      </c>
      <c r="AF18" s="2">
        <f t="shared" si="2"/>
        <v>2.2473291685350033E-2</v>
      </c>
      <c r="AH18" s="2">
        <f t="shared" si="1"/>
        <v>330</v>
      </c>
      <c r="AI18" s="217">
        <f>INPUT!B8</f>
        <v>0</v>
      </c>
      <c r="AJ18" s="72" t="str">
        <f t="shared" si="3"/>
        <v/>
      </c>
    </row>
    <row r="19" spans="1:36" ht="16.5" thickBot="1">
      <c r="A19" s="10"/>
      <c r="C19" s="73" t="s">
        <v>115</v>
      </c>
      <c r="D19" s="60">
        <v>30</v>
      </c>
      <c r="E19" s="19" t="str">
        <f>"  "&amp;IF($D$12="N","nm","n/a")</f>
        <v xml:space="preserve">  n/a</v>
      </c>
      <c r="F19" s="16" t="s">
        <v>96</v>
      </c>
      <c r="I19" s="26">
        <f>SPD!L10</f>
        <v>460</v>
      </c>
      <c r="J19" s="183"/>
      <c r="T19" s="15"/>
      <c r="U19" s="15">
        <v>335</v>
      </c>
      <c r="V19" s="3">
        <f t="shared" si="0"/>
        <v>0</v>
      </c>
      <c r="W19" s="2"/>
      <c r="X19" s="15">
        <v>335</v>
      </c>
      <c r="Y19" s="3">
        <f>Calculations!$C$11*Calculations!$C29*Calculations!$M29*SPD!$C$9</f>
        <v>0</v>
      </c>
      <c r="Z19" s="3">
        <f>Calculations!$C$11*Calculations!$C29</f>
        <v>0.26672149059926842</v>
      </c>
      <c r="AA19" s="18">
        <f>Calculations!$C$11*Calculations!$C29*$X19*SPD!$C$10</f>
        <v>449806909412.69238</v>
      </c>
      <c r="AB19" s="2"/>
      <c r="AC19" s="15">
        <v>335</v>
      </c>
      <c r="AD19" s="2">
        <f>Calculations!$C$11*Calculations!$C29</f>
        <v>0.26672149059926842</v>
      </c>
      <c r="AE19" s="2">
        <f>HLOOKUP($O$4,Calculations!$I$21:$AG$118,ROW()-10,FALSE)*5</f>
        <v>0.499365</v>
      </c>
      <c r="AF19" s="2">
        <f t="shared" si="2"/>
        <v>2.6641099387155774E-2</v>
      </c>
      <c r="AH19" s="2">
        <f t="shared" si="1"/>
        <v>335</v>
      </c>
      <c r="AI19" s="217">
        <f>INPUT!B9</f>
        <v>0</v>
      </c>
      <c r="AJ19" s="72" t="str">
        <f t="shared" si="3"/>
        <v/>
      </c>
    </row>
    <row r="20" spans="1:36">
      <c r="I20" s="3"/>
      <c r="J20" s="178"/>
      <c r="T20" s="15"/>
      <c r="U20" s="15">
        <v>340</v>
      </c>
      <c r="V20" s="3">
        <f t="shared" si="0"/>
        <v>0</v>
      </c>
      <c r="W20" s="2"/>
      <c r="X20" s="15">
        <v>340</v>
      </c>
      <c r="Y20" s="3">
        <f>Calculations!$C$11*Calculations!$C30*Calculations!$M30*SPD!$C$9</f>
        <v>0</v>
      </c>
      <c r="Z20" s="3">
        <f>Calculations!$C$11*Calculations!$C30</f>
        <v>0.27675062488219954</v>
      </c>
      <c r="AA20" s="18">
        <f>Calculations!$C$11*Calculations!$C30*$X20*SPD!$C$10</f>
        <v>473686309434.27283</v>
      </c>
      <c r="AB20" s="2"/>
      <c r="AC20" s="15">
        <v>340</v>
      </c>
      <c r="AD20" s="2">
        <f>Calculations!$C$11*Calculations!$C30</f>
        <v>0.27675062488219954</v>
      </c>
      <c r="AE20" s="2">
        <f>HLOOKUP($O$4,Calculations!$I$21:$AG$118,ROW()-10,FALSE)*5</f>
        <v>0.55043500000000001</v>
      </c>
      <c r="AF20" s="2">
        <f t="shared" si="2"/>
        <v>3.0469875848246619E-2</v>
      </c>
      <c r="AH20" s="2">
        <f t="shared" si="1"/>
        <v>340</v>
      </c>
      <c r="AI20" s="217">
        <f>INPUT!B10</f>
        <v>0</v>
      </c>
      <c r="AJ20" s="72" t="str">
        <f t="shared" si="3"/>
        <v/>
      </c>
    </row>
    <row r="21" spans="1:36" ht="15.75">
      <c r="A21" s="10" t="s">
        <v>23</v>
      </c>
      <c r="B21" s="63" t="s">
        <v>121</v>
      </c>
      <c r="I21" s="3"/>
      <c r="J21" s="178"/>
      <c r="T21" s="15"/>
      <c r="U21" s="15">
        <v>345</v>
      </c>
      <c r="V21" s="3">
        <f t="shared" si="0"/>
        <v>0</v>
      </c>
      <c r="W21" s="2"/>
      <c r="X21" s="15">
        <v>345</v>
      </c>
      <c r="Y21" s="3">
        <f>Calculations!$C$11*Calculations!$C31*Calculations!$M31*SPD!$C$9</f>
        <v>0</v>
      </c>
      <c r="Z21" s="3">
        <f>Calculations!$C$11*Calculations!$C31</f>
        <v>0.29394085338925585</v>
      </c>
      <c r="AA21" s="18">
        <f>Calculations!$C$11*Calculations!$C31*$X21*SPD!$C$10</f>
        <v>510507764060.24261</v>
      </c>
      <c r="AB21" s="2"/>
      <c r="AC21" s="15">
        <v>345</v>
      </c>
      <c r="AD21" s="2">
        <f>Calculations!$C$11*Calculations!$C31</f>
        <v>0.29394085338925585</v>
      </c>
      <c r="AE21" s="2">
        <f>HLOOKUP($O$4,Calculations!$I$21:$AG$118,ROW()-10,FALSE)*5</f>
        <v>0.59496499999999997</v>
      </c>
      <c r="AF21" s="2">
        <f t="shared" si="2"/>
        <v>3.498061191221042E-2</v>
      </c>
      <c r="AH21" s="2">
        <f t="shared" si="1"/>
        <v>345</v>
      </c>
      <c r="AI21" s="217">
        <f>INPUT!B11</f>
        <v>0</v>
      </c>
      <c r="AJ21" s="72" t="str">
        <f t="shared" si="3"/>
        <v/>
      </c>
    </row>
    <row r="22" spans="1:36" ht="21" thickBot="1">
      <c r="A22" s="10"/>
      <c r="D22" s="11" t="s">
        <v>83</v>
      </c>
      <c r="E22" s="125" t="s">
        <v>107</v>
      </c>
      <c r="F22" s="27" t="s">
        <v>88</v>
      </c>
      <c r="G22" s="27" t="s">
        <v>89</v>
      </c>
      <c r="I22" s="27" t="s">
        <v>82</v>
      </c>
      <c r="J22" s="185" t="s">
        <v>172</v>
      </c>
      <c r="K22" s="199" t="s">
        <v>175</v>
      </c>
      <c r="T22" s="15"/>
      <c r="U22" s="15">
        <v>350</v>
      </c>
      <c r="V22" s="3">
        <f t="shared" si="0"/>
        <v>0</v>
      </c>
      <c r="W22" s="2"/>
      <c r="X22" s="15">
        <v>350</v>
      </c>
      <c r="Y22" s="3">
        <f>Calculations!$C$11*Calculations!$C32*Calculations!$M32*SPD!$C$9</f>
        <v>0</v>
      </c>
      <c r="Z22" s="3">
        <f>Calculations!$C$11*Calculations!$C32</f>
        <v>0.31113177465961139</v>
      </c>
      <c r="AA22" s="18">
        <f>Calculations!$C$11*Calculations!$C32*$X22*SPD!$C$10</f>
        <v>548195815511.26117</v>
      </c>
      <c r="AB22" s="2"/>
      <c r="AC22" s="15">
        <v>350</v>
      </c>
      <c r="AD22" s="2">
        <f>Calculations!$C$11*Calculations!$C32</f>
        <v>0.31113177465961139</v>
      </c>
      <c r="AE22" s="2">
        <f>HLOOKUP($O$4,Calculations!$I$21:$AG$118,ROW()-10,FALSE)*5</f>
        <v>0.63333499999999998</v>
      </c>
      <c r="AF22" s="2">
        <f t="shared" si="2"/>
        <v>3.9414306417289227E-2</v>
      </c>
      <c r="AH22" s="2">
        <f t="shared" si="1"/>
        <v>350</v>
      </c>
      <c r="AI22" s="217">
        <f>INPUT!B12</f>
        <v>0</v>
      </c>
      <c r="AJ22" s="72" t="str">
        <f t="shared" si="3"/>
        <v/>
      </c>
    </row>
    <row r="23" spans="1:36" ht="16.5" thickBot="1">
      <c r="A23" s="10"/>
      <c r="D23" s="25" t="s">
        <v>85</v>
      </c>
      <c r="E23" s="123">
        <v>555</v>
      </c>
      <c r="F23" s="3" t="s">
        <v>87</v>
      </c>
      <c r="G23" s="15" t="s">
        <v>84</v>
      </c>
      <c r="I23" s="52">
        <f>SPD!L5</f>
        <v>100</v>
      </c>
      <c r="J23" s="192">
        <f>Calculations!AD17</f>
        <v>100.00000000000007</v>
      </c>
      <c r="K23" s="198">
        <f>J23/I23</f>
        <v>1.0000000000000007</v>
      </c>
      <c r="L23" s="29"/>
      <c r="T23" s="15"/>
      <c r="U23" s="15">
        <v>355</v>
      </c>
      <c r="V23" s="3">
        <f t="shared" si="0"/>
        <v>0</v>
      </c>
      <c r="W23" s="2"/>
      <c r="X23" s="15">
        <v>355</v>
      </c>
      <c r="Y23" s="3">
        <f>Calculations!$C$11*Calculations!$C33*Calculations!$M33*SPD!$C$9</f>
        <v>0</v>
      </c>
      <c r="Z23" s="3">
        <f>Calculations!$C$11*Calculations!$C33</f>
        <v>0.31711240022185111</v>
      </c>
      <c r="AA23" s="18">
        <f>Calculations!$C$11*Calculations!$C33*$X23*SPD!$C$10</f>
        <v>566715229250.47107</v>
      </c>
      <c r="AB23" s="2"/>
      <c r="AC23" s="15">
        <v>355</v>
      </c>
      <c r="AD23" s="2">
        <f>Calculations!$C$11*Calculations!$C33</f>
        <v>0.31711240022185111</v>
      </c>
      <c r="AE23" s="2">
        <f>HLOOKUP($O$4,Calculations!$I$21:$AG$118,ROW()-10,FALSE)*5</f>
        <v>0.66388500000000006</v>
      </c>
      <c r="AF23" s="2">
        <f t="shared" si="2"/>
        <v>4.2109696792116694E-2</v>
      </c>
      <c r="AH23" s="2">
        <f t="shared" si="1"/>
        <v>355</v>
      </c>
      <c r="AI23" s="217">
        <f>INPUT!B13</f>
        <v>0</v>
      </c>
      <c r="AJ23" s="72" t="str">
        <f t="shared" si="3"/>
        <v/>
      </c>
    </row>
    <row r="24" spans="1:36" ht="15.75">
      <c r="A24" s="10"/>
      <c r="C24" s="12"/>
      <c r="H24" s="28"/>
      <c r="I24" s="3"/>
      <c r="J24" s="178"/>
      <c r="K24" s="29"/>
      <c r="L24" s="29"/>
      <c r="T24" s="15"/>
      <c r="U24" s="15">
        <v>360</v>
      </c>
      <c r="V24" s="3">
        <f t="shared" si="0"/>
        <v>0</v>
      </c>
      <c r="W24" s="2"/>
      <c r="X24" s="15">
        <v>360</v>
      </c>
      <c r="Y24" s="3">
        <f>Calculations!$C$11*Calculations!$C34*Calculations!$M34*SPD!$C$9</f>
        <v>0</v>
      </c>
      <c r="Z24" s="3">
        <f>Calculations!$C$11*Calculations!$C34</f>
        <v>0.32309302578409088</v>
      </c>
      <c r="AA24" s="18">
        <f>Calculations!$C$11*Calculations!$C34*$X24*SPD!$C$10</f>
        <v>585535714678.30603</v>
      </c>
      <c r="AB24" s="2"/>
      <c r="AC24" s="15">
        <v>360</v>
      </c>
      <c r="AD24" s="2">
        <f>Calculations!$C$11*Calculations!$C34</f>
        <v>0.32309302578409088</v>
      </c>
      <c r="AE24" s="2">
        <f>HLOOKUP($O$4,Calculations!$I$21:$AG$118,ROW()-10,FALSE)*5</f>
        <v>0.68493000000000004</v>
      </c>
      <c r="AF24" s="2">
        <f t="shared" si="2"/>
        <v>4.4263913204859194E-2</v>
      </c>
      <c r="AH24" s="2">
        <f t="shared" si="1"/>
        <v>360</v>
      </c>
      <c r="AI24" s="217">
        <f>INPUT!B14</f>
        <v>0</v>
      </c>
      <c r="AJ24" s="72" t="str">
        <f t="shared" si="3"/>
        <v/>
      </c>
    </row>
    <row r="25" spans="1:36" ht="15.75">
      <c r="A25" s="10" t="s">
        <v>86</v>
      </c>
      <c r="B25" s="63" t="s">
        <v>129</v>
      </c>
      <c r="C25" s="29"/>
      <c r="D25" s="29"/>
      <c r="E25" s="29"/>
      <c r="F25" s="29"/>
      <c r="H25" s="30"/>
      <c r="I25" s="27"/>
      <c r="J25" s="183"/>
      <c r="K25" s="29"/>
      <c r="L25" s="29"/>
      <c r="T25" s="15"/>
      <c r="U25" s="15">
        <v>365</v>
      </c>
      <c r="V25" s="3">
        <f t="shared" si="0"/>
        <v>0</v>
      </c>
      <c r="W25" s="2"/>
      <c r="X25" s="15">
        <v>365</v>
      </c>
      <c r="Y25" s="3">
        <f>Calculations!$C$11*Calculations!$C35*Calculations!$M35*SPD!$C$9</f>
        <v>0</v>
      </c>
      <c r="Z25" s="3">
        <f>Calculations!$C$11*Calculations!$C35</f>
        <v>0.34197359674126471</v>
      </c>
      <c r="AA25" s="18">
        <f>Calculations!$C$11*Calculations!$C35*$X25*SPD!$C$10</f>
        <v>628360311393.62244</v>
      </c>
      <c r="AB25" s="2"/>
      <c r="AC25" s="15">
        <v>365</v>
      </c>
      <c r="AD25" s="2">
        <f>Calculations!$C$11*Calculations!$C35</f>
        <v>0.34197359674126471</v>
      </c>
      <c r="AE25" s="2">
        <f>HLOOKUP($O$4,Calculations!$I$21:$AG$118,ROW()-10,FALSE)*5</f>
        <v>0.69822999999999991</v>
      </c>
      <c r="AF25" s="2">
        <f t="shared" si="2"/>
        <v>4.7760307483123862E-2</v>
      </c>
      <c r="AH25" s="2">
        <f t="shared" si="1"/>
        <v>365</v>
      </c>
      <c r="AI25" s="217">
        <f>INPUT!B15</f>
        <v>0</v>
      </c>
      <c r="AJ25" s="72" t="str">
        <f t="shared" si="3"/>
        <v/>
      </c>
    </row>
    <row r="26" spans="1:36" ht="18" customHeight="1" thickBot="1">
      <c r="B26" s="29"/>
      <c r="D26" s="11" t="s">
        <v>83</v>
      </c>
      <c r="E26" s="125" t="s">
        <v>107</v>
      </c>
      <c r="F26" s="122" t="s">
        <v>131</v>
      </c>
      <c r="G26" s="27" t="s">
        <v>89</v>
      </c>
      <c r="I26" s="122" t="s">
        <v>128</v>
      </c>
      <c r="J26" s="185"/>
      <c r="K26" s="122"/>
      <c r="L26" s="29"/>
      <c r="T26" s="15"/>
      <c r="U26" s="15">
        <v>370</v>
      </c>
      <c r="V26" s="3">
        <f t="shared" si="0"/>
        <v>0</v>
      </c>
      <c r="W26" s="2"/>
      <c r="X26" s="15">
        <v>370</v>
      </c>
      <c r="Y26" s="3">
        <f>Calculations!$C$11*Calculations!$C36*Calculations!$M36*SPD!$C$9</f>
        <v>0</v>
      </c>
      <c r="Z26" s="3">
        <f>Calculations!$C$11*Calculations!$C36</f>
        <v>0.36085416769843859</v>
      </c>
      <c r="AA26" s="18">
        <f>Calculations!$C$11*Calculations!$C36*$X26*SPD!$C$10</f>
        <v>672135378142.73816</v>
      </c>
      <c r="AB26" s="2"/>
      <c r="AC26" s="15">
        <v>370</v>
      </c>
      <c r="AD26" s="2">
        <f>Calculations!$C$11*Calculations!$C36</f>
        <v>0.36085416769843859</v>
      </c>
      <c r="AE26" s="2">
        <f>HLOOKUP($O$4,Calculations!$I$21:$AG$118,ROW()-10,FALSE)*5</f>
        <v>0.70862499999999995</v>
      </c>
      <c r="AF26" s="2">
        <f t="shared" si="2"/>
        <v>5.114747854978749E-2</v>
      </c>
      <c r="AH26" s="2">
        <f t="shared" si="1"/>
        <v>370</v>
      </c>
      <c r="AI26" s="217">
        <f>INPUT!B16</f>
        <v>0</v>
      </c>
      <c r="AJ26" s="72" t="str">
        <f t="shared" si="3"/>
        <v/>
      </c>
    </row>
    <row r="27" spans="1:36" ht="18" customHeight="1">
      <c r="B27" s="29"/>
      <c r="D27" s="119" t="s">
        <v>132</v>
      </c>
      <c r="E27" s="201">
        <v>360</v>
      </c>
      <c r="F27" s="40" t="s">
        <v>48</v>
      </c>
      <c r="G27" s="122" t="s">
        <v>124</v>
      </c>
      <c r="I27" s="53">
        <f>Calculations!Y17</f>
        <v>100.00000000000003</v>
      </c>
      <c r="J27" s="186"/>
      <c r="K27" s="168"/>
      <c r="L27" s="29"/>
      <c r="T27" s="15"/>
      <c r="U27" s="15">
        <v>375</v>
      </c>
      <c r="V27" s="3">
        <f t="shared" si="0"/>
        <v>0</v>
      </c>
      <c r="W27" s="2"/>
      <c r="X27" s="15">
        <v>375</v>
      </c>
      <c r="Y27" s="3">
        <f>Calculations!$C$11*Calculations!$C37*Calculations!$M37*SPD!$C$9</f>
        <v>0</v>
      </c>
      <c r="Z27" s="3">
        <f>Calculations!$C$11*Calculations!$C37</f>
        <v>0.35353304515219164</v>
      </c>
      <c r="AA27" s="18">
        <f>Calculations!$C$11*Calculations!$C37*$X27*SPD!$C$10</f>
        <v>667397518334.75464</v>
      </c>
      <c r="AB27" s="2"/>
      <c r="AC27" s="15">
        <v>375</v>
      </c>
      <c r="AD27" s="2">
        <f>Calculations!$C$11*Calculations!$C37</f>
        <v>0.35353304515219164</v>
      </c>
      <c r="AE27" s="2">
        <f>HLOOKUP($O$4,Calculations!$I$21:$AG$118,ROW()-10,FALSE)*5</f>
        <v>0.72249999999999992</v>
      </c>
      <c r="AF27" s="2">
        <f t="shared" si="2"/>
        <v>5.1090940664202091E-2</v>
      </c>
      <c r="AH27" s="2">
        <f t="shared" si="1"/>
        <v>375</v>
      </c>
      <c r="AI27" s="217">
        <f>INPUT!B17</f>
        <v>0</v>
      </c>
      <c r="AJ27" s="72" t="str">
        <f t="shared" si="3"/>
        <v/>
      </c>
    </row>
    <row r="28" spans="1:36" ht="18" customHeight="1">
      <c r="B28" s="29"/>
      <c r="D28" s="32" t="s">
        <v>17</v>
      </c>
      <c r="E28" s="202">
        <v>480</v>
      </c>
      <c r="F28" s="128" t="s">
        <v>119</v>
      </c>
      <c r="G28" s="122" t="s">
        <v>125</v>
      </c>
      <c r="I28" s="54">
        <f>Calculations!Z17</f>
        <v>99.999999999999957</v>
      </c>
      <c r="J28" s="186"/>
      <c r="K28" s="168"/>
      <c r="L28" s="29"/>
      <c r="T28" s="15"/>
      <c r="U28" s="15">
        <v>380</v>
      </c>
      <c r="V28" s="3">
        <f t="shared" si="0"/>
        <v>0</v>
      </c>
      <c r="W28" s="2"/>
      <c r="X28" s="15">
        <v>380</v>
      </c>
      <c r="Y28" s="3">
        <f>Calculations!$C$11*Calculations!$C38*Calculations!$M38*SPD!$C$9</f>
        <v>9.2220678811283274E-5</v>
      </c>
      <c r="Z28" s="3">
        <f>Calculations!$C$11*Calculations!$C38</f>
        <v>0.34621192260594474</v>
      </c>
      <c r="AA28" s="18">
        <f>Calculations!$C$11*Calculations!$C38*$X28*SPD!$C$10</f>
        <v>662291104651.47974</v>
      </c>
      <c r="AB28" s="2"/>
      <c r="AC28" s="15">
        <v>380</v>
      </c>
      <c r="AD28" s="2">
        <f>Calculations!$C$11*Calculations!$C38</f>
        <v>0.34621192260594474</v>
      </c>
      <c r="AE28" s="2">
        <f>HLOOKUP($O$4,Calculations!$I$21:$AG$118,ROW()-10,FALSE)*5</f>
        <v>0.74484499999999998</v>
      </c>
      <c r="AF28" s="2">
        <f t="shared" si="2"/>
        <v>5.1580311411694627E-2</v>
      </c>
      <c r="AH28" s="2">
        <f t="shared" si="1"/>
        <v>380</v>
      </c>
      <c r="AI28" s="217">
        <f>INPUT!B18</f>
        <v>0</v>
      </c>
      <c r="AJ28" s="72" t="str">
        <f t="shared" si="3"/>
        <v/>
      </c>
    </row>
    <row r="29" spans="1:36" ht="18" customHeight="1">
      <c r="B29" s="29"/>
      <c r="D29" s="25" t="s">
        <v>15</v>
      </c>
      <c r="E29" s="202">
        <v>498</v>
      </c>
      <c r="F29" s="20" t="s">
        <v>37</v>
      </c>
      <c r="G29" s="122" t="s">
        <v>126</v>
      </c>
      <c r="I29" s="54">
        <f>Calculations!AA17</f>
        <v>99.999999999999915</v>
      </c>
      <c r="J29" s="186"/>
      <c r="K29" s="169"/>
      <c r="L29" s="29"/>
      <c r="T29" s="15"/>
      <c r="U29" s="15">
        <v>385</v>
      </c>
      <c r="V29" s="3">
        <f t="shared" si="0"/>
        <v>0</v>
      </c>
      <c r="W29" s="2"/>
      <c r="X29" s="15">
        <v>385</v>
      </c>
      <c r="Y29" s="3">
        <f>Calculations!$C$11*Calculations!$C39*Calculations!$M39*SPD!$C$9</f>
        <v>1.5841131445370573E-4</v>
      </c>
      <c r="Z29" s="3">
        <f>Calculations!$C$11*Calculations!$C39</f>
        <v>0.36239695156582047</v>
      </c>
      <c r="AA29" s="18">
        <f>Calculations!$C$11*Calculations!$C39*$X29*SPD!$C$10</f>
        <v>702374233174.16614</v>
      </c>
      <c r="AB29" s="2"/>
      <c r="AC29" s="15">
        <v>385</v>
      </c>
      <c r="AD29" s="2">
        <f>Calculations!$C$11*Calculations!$C39</f>
        <v>0.36239695156582047</v>
      </c>
      <c r="AE29" s="2">
        <f>HLOOKUP($O$4,Calculations!$I$21:$AG$118,ROW()-10,FALSE)*5</f>
        <v>0.77876000000000001</v>
      </c>
      <c r="AF29" s="2">
        <f t="shared" si="2"/>
        <v>5.6450033703852279E-2</v>
      </c>
      <c r="AH29" s="2">
        <f t="shared" si="1"/>
        <v>385</v>
      </c>
      <c r="AI29" s="217">
        <f>INPUT!B19</f>
        <v>0</v>
      </c>
      <c r="AJ29" s="72" t="str">
        <f t="shared" si="3"/>
        <v/>
      </c>
    </row>
    <row r="30" spans="1:36" ht="18" customHeight="1" thickBot="1">
      <c r="B30" s="29"/>
      <c r="D30" s="34" t="s">
        <v>16</v>
      </c>
      <c r="E30" s="201">
        <v>508</v>
      </c>
      <c r="F30" s="20" t="s">
        <v>47</v>
      </c>
      <c r="G30" s="122" t="s">
        <v>127</v>
      </c>
      <c r="I30" s="55">
        <f>Calculations!AB17</f>
        <v>99.999999999999957</v>
      </c>
      <c r="J30" s="186"/>
      <c r="K30" s="168"/>
      <c r="L30" s="29"/>
      <c r="T30" s="15"/>
      <c r="U30" s="15">
        <v>390</v>
      </c>
      <c r="V30" s="3">
        <f t="shared" si="0"/>
        <v>0</v>
      </c>
      <c r="W30" s="2"/>
      <c r="X30" s="15">
        <v>390</v>
      </c>
      <c r="Y30" s="3">
        <f>Calculations!$C$11*Calculations!$C40*Calculations!$M40*SPD!$C$9</f>
        <v>3.1028706218753471E-4</v>
      </c>
      <c r="Z30" s="3">
        <f>Calculations!$C$11*Calculations!$C40</f>
        <v>0.37858267328899542</v>
      </c>
      <c r="AA30" s="18">
        <f>Calculations!$C$11*Calculations!$C40*$X30*SPD!$C$10</f>
        <v>743273495098.59033</v>
      </c>
      <c r="AB30" s="2"/>
      <c r="AC30" s="15">
        <v>390</v>
      </c>
      <c r="AD30" s="2">
        <f>Calculations!$C$11*Calculations!$C40</f>
        <v>0.37858267328899542</v>
      </c>
      <c r="AE30" s="2">
        <f>HLOOKUP($O$4,Calculations!$I$21:$AG$118,ROW()-10,FALSE)*5</f>
        <v>0.83013500000000007</v>
      </c>
      <c r="AF30" s="2">
        <f t="shared" si="2"/>
        <v>6.2861608828687895E-2</v>
      </c>
      <c r="AH30" s="2">
        <f t="shared" si="1"/>
        <v>390</v>
      </c>
      <c r="AI30" s="217">
        <f>INPUT!B20</f>
        <v>0</v>
      </c>
      <c r="AJ30" s="72" t="str">
        <f t="shared" si="3"/>
        <v/>
      </c>
    </row>
    <row r="31" spans="1:36" ht="15.75">
      <c r="I31" s="35"/>
      <c r="J31" s="187"/>
      <c r="L31" s="29"/>
      <c r="T31" s="15"/>
      <c r="U31" s="15">
        <v>395</v>
      </c>
      <c r="V31" s="3">
        <f t="shared" si="0"/>
        <v>0</v>
      </c>
      <c r="W31" s="2"/>
      <c r="X31" s="15">
        <v>395</v>
      </c>
      <c r="Y31" s="3">
        <f>Calculations!$C$11*Calculations!$C41*Calculations!$M41*SPD!$C$9</f>
        <v>7.0539522082829959E-4</v>
      </c>
      <c r="Z31" s="3">
        <f>Calculations!$C$11*Calculations!$C41</f>
        <v>0.47593877801947576</v>
      </c>
      <c r="AA31" s="18">
        <f>Calculations!$C$11*Calculations!$C41*$X31*SPD!$C$10</f>
        <v>946392941428.37292</v>
      </c>
      <c r="AB31" s="2"/>
      <c r="AC31" s="15">
        <v>395</v>
      </c>
      <c r="AD31" s="2">
        <f>Calculations!$C$11*Calculations!$C41</f>
        <v>0.47593877801947576</v>
      </c>
      <c r="AE31" s="2">
        <f>HLOOKUP($O$4,Calculations!$I$21:$AG$118,ROW()-10,FALSE)*5</f>
        <v>0.90509500000000009</v>
      </c>
      <c r="AF31" s="2">
        <f t="shared" si="2"/>
        <v>8.616309494637181E-2</v>
      </c>
      <c r="AH31" s="2">
        <f t="shared" si="1"/>
        <v>395</v>
      </c>
      <c r="AI31" s="217">
        <f>INPUT!B21</f>
        <v>0</v>
      </c>
      <c r="AJ31" s="72" t="str">
        <f t="shared" si="3"/>
        <v/>
      </c>
    </row>
    <row r="32" spans="1:36" ht="15.75">
      <c r="A32" s="10" t="s">
        <v>90</v>
      </c>
      <c r="B32" s="63" t="s">
        <v>130</v>
      </c>
      <c r="I32" s="22"/>
      <c r="J32" s="182"/>
      <c r="L32" s="29"/>
      <c r="T32" s="15"/>
      <c r="U32" s="15">
        <v>400</v>
      </c>
      <c r="V32" s="3">
        <f t="shared" si="0"/>
        <v>0</v>
      </c>
      <c r="W32" s="2"/>
      <c r="X32" s="15">
        <v>400</v>
      </c>
      <c r="Y32" s="3">
        <f>Calculations!$C$11*Calculations!$C42*Calculations!$M42*SPD!$C$9</f>
        <v>1.5505845910506954E-3</v>
      </c>
      <c r="Z32" s="3">
        <f>Calculations!$C$11*Calculations!$C42</f>
        <v>0.5732955755132555</v>
      </c>
      <c r="AA32" s="18">
        <f>Calculations!$C$11*Calculations!$C42*$X32*SPD!$C$10</f>
        <v>1154414802965.511</v>
      </c>
      <c r="AB32" s="2"/>
      <c r="AC32" s="15">
        <v>400</v>
      </c>
      <c r="AD32" s="2">
        <f>Calculations!$C$11*Calculations!$C42</f>
        <v>0.5732955755132555</v>
      </c>
      <c r="AE32" s="2">
        <f>HLOOKUP($O$4,Calculations!$I$21:$AG$118,ROW()-10,FALSE)*5</f>
        <v>1.0068999999999999</v>
      </c>
      <c r="AF32" s="2">
        <f t="shared" si="2"/>
        <v>0.11546250202207374</v>
      </c>
      <c r="AH32" s="2">
        <f t="shared" si="1"/>
        <v>400</v>
      </c>
      <c r="AI32" s="217">
        <f>INPUT!B22</f>
        <v>0</v>
      </c>
      <c r="AJ32" s="72" t="str">
        <f t="shared" si="3"/>
        <v/>
      </c>
    </row>
    <row r="33" spans="1:36" ht="16.5" thickBot="1">
      <c r="D33" s="11" t="s">
        <v>40</v>
      </c>
      <c r="E33" s="11"/>
      <c r="F33" s="11" t="s">
        <v>39</v>
      </c>
      <c r="G33" s="29"/>
      <c r="H33" s="27"/>
      <c r="I33" s="27" t="s">
        <v>94</v>
      </c>
      <c r="J33" s="183"/>
      <c r="L33" s="29"/>
      <c r="T33" s="15"/>
      <c r="U33" s="15">
        <v>405</v>
      </c>
      <c r="V33" s="3">
        <f t="shared" si="0"/>
        <v>0</v>
      </c>
      <c r="W33" s="2"/>
      <c r="X33" s="15">
        <v>405</v>
      </c>
      <c r="Y33" s="3">
        <f>Calculations!$C$11*Calculations!$C43*Calculations!$M43*SPD!$C$9</f>
        <v>2.6381919719322649E-3</v>
      </c>
      <c r="Z33" s="3">
        <f>Calculations!$C$11*Calculations!$C43</f>
        <v>0.60353815734107608</v>
      </c>
      <c r="AA33" s="18">
        <f>Calculations!$C$11*Calculations!$C43*$X33*SPD!$C$10</f>
        <v>1230504089700.7905</v>
      </c>
      <c r="AB33" s="2"/>
      <c r="AC33" s="15">
        <v>405</v>
      </c>
      <c r="AD33" s="2">
        <f>Calculations!$C$11*Calculations!$C43</f>
        <v>0.60353815734107608</v>
      </c>
      <c r="AE33" s="2">
        <f>HLOOKUP($O$4,Calculations!$I$21:$AG$118,ROW()-10,FALSE)*5</f>
        <v>1.1382349999999999</v>
      </c>
      <c r="AF33" s="2">
        <f t="shared" si="2"/>
        <v>0.13740821617513851</v>
      </c>
      <c r="AH33" s="2">
        <f t="shared" si="1"/>
        <v>405</v>
      </c>
      <c r="AI33" s="217">
        <f>INPUT!B23</f>
        <v>0</v>
      </c>
      <c r="AJ33" s="72" t="str">
        <f t="shared" si="3"/>
        <v/>
      </c>
    </row>
    <row r="34" spans="1:36" ht="15.75">
      <c r="A34" s="10"/>
      <c r="D34" s="16" t="s">
        <v>112</v>
      </c>
      <c r="F34" s="16" t="s">
        <v>105</v>
      </c>
      <c r="H34" s="27"/>
      <c r="I34" s="56">
        <f>SPD!L6</f>
        <v>52.692337886186436</v>
      </c>
      <c r="J34" s="184"/>
      <c r="L34" s="29"/>
      <c r="T34" s="15"/>
      <c r="U34" s="15">
        <v>410</v>
      </c>
      <c r="V34" s="3">
        <f t="shared" si="0"/>
        <v>0</v>
      </c>
      <c r="W34" s="2"/>
      <c r="X34" s="15">
        <v>410</v>
      </c>
      <c r="Y34" s="3">
        <f>Calculations!$C$11*Calculations!$C44*Calculations!$M44*SPD!$C$9</f>
        <v>5.2377717575417928E-3</v>
      </c>
      <c r="Z34" s="3">
        <f>Calculations!$C$11*Calculations!$C44</f>
        <v>0.63378143193219605</v>
      </c>
      <c r="AA34" s="18">
        <f>Calculations!$C$11*Calculations!$C44*$X34*SPD!$C$10</f>
        <v>1308117253246.6997</v>
      </c>
      <c r="AB34" s="2"/>
      <c r="AC34" s="15">
        <v>410</v>
      </c>
      <c r="AD34" s="2">
        <f>Calculations!$C$11*Calculations!$C44</f>
        <v>0.63378143193219605</v>
      </c>
      <c r="AE34" s="2">
        <f>HLOOKUP($O$4,Calculations!$I$21:$AG$118,ROW()-10,FALSE)*5</f>
        <v>1.301145</v>
      </c>
      <c r="AF34" s="2">
        <f t="shared" si="2"/>
        <v>0.1649457925042889</v>
      </c>
      <c r="AH34" s="2">
        <f t="shared" si="1"/>
        <v>410</v>
      </c>
      <c r="AI34" s="217">
        <f>INPUT!B24</f>
        <v>0</v>
      </c>
      <c r="AJ34" s="72" t="str">
        <f t="shared" si="3"/>
        <v/>
      </c>
    </row>
    <row r="35" spans="1:36" ht="15.75">
      <c r="D35" s="19" t="s">
        <v>92</v>
      </c>
      <c r="F35" s="16" t="s">
        <v>104</v>
      </c>
      <c r="H35" s="27"/>
      <c r="I35" s="36">
        <f>SPD!L7</f>
        <v>146322101437841.03</v>
      </c>
      <c r="J35" s="188"/>
      <c r="L35" s="29"/>
      <c r="T35" s="15"/>
      <c r="U35" s="15">
        <v>415</v>
      </c>
      <c r="V35" s="3">
        <f t="shared" si="0"/>
        <v>0</v>
      </c>
      <c r="W35" s="2"/>
      <c r="X35" s="15">
        <v>415</v>
      </c>
      <c r="Y35" s="3">
        <f>Calculations!$C$11*Calculations!$C45*Calculations!$M45*SPD!$C$9</f>
        <v>9.5369998447522066E-3</v>
      </c>
      <c r="Z35" s="3">
        <f>Calculations!$C$11*Calculations!$C45</f>
        <v>0.64052132607039025</v>
      </c>
      <c r="AA35" s="18">
        <f>Calculations!$C$11*Calculations!$C45*$X35*SPD!$C$10</f>
        <v>1338150610198.0598</v>
      </c>
      <c r="AB35" s="2"/>
      <c r="AC35" s="15">
        <v>415</v>
      </c>
      <c r="AD35" s="2">
        <f>Calculations!$C$11*Calculations!$C45</f>
        <v>0.64052132607039025</v>
      </c>
      <c r="AE35" s="2">
        <f>HLOOKUP($O$4,Calculations!$I$21:$AG$118,ROW()-10,FALSE)*5</f>
        <v>1.4967700000000002</v>
      </c>
      <c r="AF35" s="2">
        <f t="shared" si="2"/>
        <v>0.19176294791695483</v>
      </c>
      <c r="AH35" s="2">
        <f t="shared" si="1"/>
        <v>415</v>
      </c>
      <c r="AI35" s="217">
        <f>INPUT!B25</f>
        <v>0</v>
      </c>
      <c r="AJ35" s="72" t="str">
        <f t="shared" si="3"/>
        <v/>
      </c>
    </row>
    <row r="36" spans="1:36" ht="16.5" thickBot="1">
      <c r="D36" s="16" t="s">
        <v>93</v>
      </c>
      <c r="F36" s="16" t="s">
        <v>106</v>
      </c>
      <c r="H36" s="27"/>
      <c r="I36" s="57">
        <f>LOG(SPD!L7,10)</f>
        <v>14.16530992973124</v>
      </c>
      <c r="J36" s="184"/>
      <c r="L36" s="29"/>
      <c r="T36" s="15"/>
      <c r="U36" s="15">
        <v>420</v>
      </c>
      <c r="V36" s="3">
        <f t="shared" si="0"/>
        <v>0</v>
      </c>
      <c r="W36" s="2"/>
      <c r="X36" s="15">
        <v>420</v>
      </c>
      <c r="Y36" s="3">
        <f>Calculations!$C$11*Calculations!$C46*Calculations!$M46*SPD!$C$9</f>
        <v>1.7683216609082154E-2</v>
      </c>
      <c r="Z36" s="3">
        <f>Calculations!$C$11*Calculations!$C46</f>
        <v>0.64726122020858434</v>
      </c>
      <c r="AA36" s="18">
        <f>Calculations!$C$11*Calculations!$C46*$X36*SPD!$C$10</f>
        <v>1368523261306.5649</v>
      </c>
      <c r="AB36" s="2"/>
      <c r="AC36" s="15">
        <v>420</v>
      </c>
      <c r="AD36" s="2">
        <f>Calculations!$C$11*Calculations!$C46</f>
        <v>0.64726122020858434</v>
      </c>
      <c r="AE36" s="2">
        <f>HLOOKUP($O$4,Calculations!$I$21:$AG$118,ROW()-10,FALSE)*5</f>
        <v>1.7246000000000001</v>
      </c>
      <c r="AF36" s="2">
        <f t="shared" si="2"/>
        <v>0.22327700743713327</v>
      </c>
      <c r="AH36" s="2">
        <f t="shared" si="1"/>
        <v>420</v>
      </c>
      <c r="AI36" s="217">
        <f>INPUT!B26</f>
        <v>0</v>
      </c>
      <c r="AJ36" s="72" t="str">
        <f t="shared" si="3"/>
        <v/>
      </c>
    </row>
    <row r="37" spans="1:36">
      <c r="T37" s="15"/>
      <c r="U37" s="15">
        <v>425</v>
      </c>
      <c r="V37" s="3">
        <f t="shared" si="0"/>
        <v>0</v>
      </c>
      <c r="W37" s="2"/>
      <c r="X37" s="15">
        <v>425</v>
      </c>
      <c r="Y37" s="3">
        <f>Calculations!$C$11*Calculations!$C47*Calculations!$M47*SPD!$C$9</f>
        <v>3.1106195370842731E-2</v>
      </c>
      <c r="Z37" s="3">
        <f>Calculations!$C$11*Calculations!$C47</f>
        <v>0.62388184438622052</v>
      </c>
      <c r="AA37" s="18">
        <f>Calculations!$C$11*Calculations!$C47*$X37*SPD!$C$10</f>
        <v>1334795036669.5093</v>
      </c>
      <c r="AB37" s="2"/>
      <c r="AC37" s="15">
        <v>425</v>
      </c>
      <c r="AD37" s="2">
        <f>Calculations!$C$11*Calculations!$C47</f>
        <v>0.62388184438622052</v>
      </c>
      <c r="AE37" s="2">
        <f>HLOOKUP($O$4,Calculations!$I$21:$AG$118,ROW()-10,FALSE)*5</f>
        <v>1.9823900000000001</v>
      </c>
      <c r="AF37" s="2">
        <f t="shared" si="2"/>
        <v>0.24738164835328544</v>
      </c>
      <c r="AH37" s="2">
        <f t="shared" si="1"/>
        <v>425</v>
      </c>
      <c r="AI37" s="217">
        <f>INPUT!B27</f>
        <v>0</v>
      </c>
      <c r="AJ37" s="72" t="str">
        <f t="shared" si="3"/>
        <v/>
      </c>
    </row>
    <row r="38" spans="1:36" ht="15.75" thickBot="1">
      <c r="T38" s="15"/>
      <c r="U38" s="15">
        <v>430</v>
      </c>
      <c r="V38" s="3">
        <f t="shared" si="0"/>
        <v>0</v>
      </c>
      <c r="W38" s="2"/>
      <c r="X38" s="15">
        <v>430</v>
      </c>
      <c r="Y38" s="3">
        <f>Calculations!$C$11*Calculations!$C48*Calculations!$M48*SPD!$C$9</f>
        <v>4.7576772282167119E-2</v>
      </c>
      <c r="Z38" s="3">
        <f>Calculations!$C$11*Calculations!$C48</f>
        <v>0.60050316132715598</v>
      </c>
      <c r="AA38" s="18">
        <f>Calculations!$C$11*Calculations!$C48*$X38*SPD!$C$10</f>
        <v>1299891366501.9182</v>
      </c>
      <c r="AB38" s="2"/>
      <c r="AC38" s="15">
        <v>430</v>
      </c>
      <c r="AD38" s="2">
        <f>Calculations!$C$11*Calculations!$C48</f>
        <v>0.60050316132715598</v>
      </c>
      <c r="AE38" s="2">
        <f>HLOOKUP($O$4,Calculations!$I$21:$AG$118,ROW()-10,FALSE)*5</f>
        <v>2.2681750000000003</v>
      </c>
      <c r="AF38" s="2">
        <f t="shared" si="2"/>
        <v>0.27243813003042766</v>
      </c>
      <c r="AH38" s="2">
        <f t="shared" si="1"/>
        <v>430</v>
      </c>
      <c r="AI38" s="217">
        <f>INPUT!B28</f>
        <v>0</v>
      </c>
      <c r="AJ38" s="72" t="str">
        <f t="shared" si="3"/>
        <v/>
      </c>
    </row>
    <row r="39" spans="1:36" ht="15.75" thickBot="1">
      <c r="D39" s="175" t="s">
        <v>171</v>
      </c>
      <c r="I39" s="174">
        <f>I28/I23</f>
        <v>0.99999999999999956</v>
      </c>
      <c r="J39" s="189"/>
      <c r="T39" s="15"/>
      <c r="U39" s="15">
        <v>435</v>
      </c>
      <c r="V39" s="3">
        <f t="shared" si="0"/>
        <v>0</v>
      </c>
      <c r="W39" s="2"/>
      <c r="X39" s="15">
        <v>435</v>
      </c>
      <c r="Y39" s="3">
        <f>Calculations!$C$11*Calculations!$C49*Calculations!$M49*SPD!$C$9</f>
        <v>7.6312285248865991E-2</v>
      </c>
      <c r="Z39" s="3">
        <f>Calculations!$C$11*Calculations!$C49</f>
        <v>0.66348435114991766</v>
      </c>
      <c r="AA39" s="18">
        <f>Calculations!$C$11*Calculations!$C49*$X39*SPD!$C$10</f>
        <v>1452925167705.6125</v>
      </c>
      <c r="AB39" s="2"/>
      <c r="AC39" s="15">
        <v>435</v>
      </c>
      <c r="AD39" s="2">
        <f>Calculations!$C$11*Calculations!$C49</f>
        <v>0.66348435114991766</v>
      </c>
      <c r="AE39" s="2">
        <f>HLOOKUP($O$4,Calculations!$I$21:$AG$118,ROW()-10,FALSE)*5</f>
        <v>2.578535</v>
      </c>
      <c r="AF39" s="2">
        <f t="shared" si="2"/>
        <v>0.34219979745700108</v>
      </c>
      <c r="AH39" s="2">
        <f t="shared" si="1"/>
        <v>435</v>
      </c>
      <c r="AI39" s="217">
        <f>INPUT!B29</f>
        <v>0</v>
      </c>
      <c r="AJ39" s="72" t="str">
        <f t="shared" si="3"/>
        <v/>
      </c>
    </row>
    <row r="40" spans="1:36">
      <c r="T40" s="15"/>
      <c r="U40" s="15">
        <v>440</v>
      </c>
      <c r="V40" s="3">
        <f t="shared" si="0"/>
        <v>0</v>
      </c>
      <c r="W40" s="2"/>
      <c r="X40" s="15">
        <v>440</v>
      </c>
      <c r="Y40" s="3">
        <f>Calculations!$C$11*Calculations!$C50*Calculations!$M50*SPD!$C$9</f>
        <v>0.11412083927357229</v>
      </c>
      <c r="Z40" s="3">
        <f>Calculations!$C$11*Calculations!$C50</f>
        <v>0.72646623373597852</v>
      </c>
      <c r="AA40" s="18">
        <f>Calculations!$C$11*Calculations!$C50*$X40*SPD!$C$10</f>
        <v>1609131050176.8008</v>
      </c>
      <c r="AB40" s="2"/>
      <c r="AC40" s="15">
        <v>440</v>
      </c>
      <c r="AD40" s="2">
        <f>Calculations!$C$11*Calculations!$C50</f>
        <v>0.72646623373597852</v>
      </c>
      <c r="AE40" s="2">
        <f>HLOOKUP($O$4,Calculations!$I$21:$AG$118,ROW()-10,FALSE)*5</f>
        <v>2.9044950000000003</v>
      </c>
      <c r="AF40" s="2">
        <f t="shared" si="2"/>
        <v>0.42204824582505368</v>
      </c>
      <c r="AH40" s="2">
        <f t="shared" si="1"/>
        <v>440</v>
      </c>
      <c r="AI40" s="217">
        <f>INPUT!B30</f>
        <v>0</v>
      </c>
      <c r="AJ40" s="72" t="str">
        <f t="shared" si="3"/>
        <v/>
      </c>
    </row>
    <row r="41" spans="1:36">
      <c r="T41" s="15"/>
      <c r="U41" s="15">
        <v>445</v>
      </c>
      <c r="V41" s="3">
        <f t="shared" si="0"/>
        <v>0</v>
      </c>
      <c r="W41" s="2"/>
      <c r="X41" s="15">
        <v>445</v>
      </c>
      <c r="Y41" s="3">
        <f>Calculations!$C$11*Calculations!$C51*Calculations!$M51*SPD!$C$9</f>
        <v>0.1564210966416282</v>
      </c>
      <c r="Z41" s="3">
        <f>Calculations!$C$11*Calculations!$C51</f>
        <v>0.76852389363214146</v>
      </c>
      <c r="AA41" s="18">
        <f>Calculations!$C$11*Calculations!$C51*$X41*SPD!$C$10</f>
        <v>1721633445841.0603</v>
      </c>
      <c r="AB41" s="2"/>
      <c r="AC41" s="15">
        <v>445</v>
      </c>
      <c r="AD41" s="2">
        <f>Calculations!$C$11*Calculations!$C51</f>
        <v>0.76852389363214146</v>
      </c>
      <c r="AE41" s="2">
        <f>HLOOKUP($O$4,Calculations!$I$21:$AG$118,ROW()-10,FALSE)*5</f>
        <v>3.2365250000000003</v>
      </c>
      <c r="AF41" s="2">
        <f t="shared" si="2"/>
        <v>0.49752209630976224</v>
      </c>
      <c r="AH41" s="2">
        <f t="shared" si="1"/>
        <v>445</v>
      </c>
      <c r="AI41" s="217">
        <f>INPUT!B31</f>
        <v>0</v>
      </c>
      <c r="AJ41" s="72" t="str">
        <f t="shared" si="3"/>
        <v/>
      </c>
    </row>
    <row r="42" spans="1:36">
      <c r="T42" s="15"/>
      <c r="U42" s="15">
        <v>450</v>
      </c>
      <c r="V42" s="3">
        <f t="shared" si="0"/>
        <v>0</v>
      </c>
      <c r="W42" s="2"/>
      <c r="X42" s="15">
        <v>450</v>
      </c>
      <c r="Y42" s="3">
        <f>Calculations!$C$11*Calculations!$C52*Calculations!$M52*SPD!$C$9</f>
        <v>0.21038061115655596</v>
      </c>
      <c r="Z42" s="3">
        <f>Calculations!$C$11*Calculations!$C52</f>
        <v>0.81058848116129667</v>
      </c>
      <c r="AA42" s="18">
        <f>Calculations!$C$11*Calculations!$C52*$X42*SPD!$C$10</f>
        <v>1836268766847.1843</v>
      </c>
      <c r="AB42" s="2"/>
      <c r="AC42" s="15">
        <v>450</v>
      </c>
      <c r="AD42" s="2">
        <f>Calculations!$C$11*Calculations!$C52</f>
        <v>0.81058848116129667</v>
      </c>
      <c r="AE42" s="2">
        <f>HLOOKUP($O$4,Calculations!$I$21:$AG$118,ROW()-10,FALSE)*5</f>
        <v>3.5661700000000001</v>
      </c>
      <c r="AF42" s="2">
        <f t="shared" si="2"/>
        <v>0.57820055403132364</v>
      </c>
      <c r="AH42" s="2">
        <f t="shared" si="1"/>
        <v>450</v>
      </c>
      <c r="AI42" s="217">
        <f>INPUT!B32</f>
        <v>0</v>
      </c>
      <c r="AJ42" s="72" t="str">
        <f t="shared" si="3"/>
        <v/>
      </c>
    </row>
    <row r="43" spans="1:36">
      <c r="T43" s="15"/>
      <c r="U43" s="15">
        <v>455</v>
      </c>
      <c r="V43" s="3">
        <f t="shared" si="0"/>
        <v>0</v>
      </c>
      <c r="W43" s="2"/>
      <c r="X43" s="15">
        <v>455</v>
      </c>
      <c r="Y43" s="3">
        <f>Calculations!$C$11*Calculations!$C53*Calculations!$M53*SPD!$C$9</f>
        <v>0.26665693634146009</v>
      </c>
      <c r="Z43" s="3">
        <f>Calculations!$C$11*Calculations!$C53</f>
        <v>0.81337338962419525</v>
      </c>
      <c r="AA43" s="18">
        <f>Calculations!$C$11*Calculations!$C53*$X43*SPD!$C$10</f>
        <v>1863050650697.4868</v>
      </c>
      <c r="AB43" s="2"/>
      <c r="AC43" s="15">
        <v>455</v>
      </c>
      <c r="AD43" s="2">
        <f>Calculations!$C$11*Calculations!$C53</f>
        <v>0.81337338962419525</v>
      </c>
      <c r="AE43" s="2">
        <f>HLOOKUP($O$4,Calculations!$I$21:$AG$118,ROW()-10,FALSE)*5</f>
        <v>3.8862249999999996</v>
      </c>
      <c r="AF43" s="2">
        <f t="shared" si="2"/>
        <v>0.6322574195049252</v>
      </c>
      <c r="AH43" s="2">
        <f t="shared" si="1"/>
        <v>455</v>
      </c>
      <c r="AI43" s="217">
        <f>INPUT!B33</f>
        <v>0</v>
      </c>
      <c r="AJ43" s="72" t="str">
        <f t="shared" si="3"/>
        <v/>
      </c>
    </row>
    <row r="44" spans="1:36">
      <c r="T44" s="15"/>
      <c r="U44" s="15">
        <v>460</v>
      </c>
      <c r="V44" s="3">
        <f t="shared" ref="V44:V75" si="4">VLOOKUP($U44,$AH$12:$AJ$496,IF($D$6="1nm spectral data",3,2),0)</f>
        <v>0</v>
      </c>
      <c r="W44" s="2"/>
      <c r="X44" s="15">
        <v>460</v>
      </c>
      <c r="Y44" s="3">
        <f>Calculations!$C$11*Calculations!$C54*Calculations!$M54*SPD!$C$9</f>
        <v>0.33446242850119345</v>
      </c>
      <c r="Z44" s="3">
        <f>Calculations!$C$11*Calculations!$C54</f>
        <v>0.81615829808709395</v>
      </c>
      <c r="AA44" s="18">
        <f>Calculations!$C$11*Calculations!$C54*$X44*SPD!$C$10</f>
        <v>1889972730098.3831</v>
      </c>
      <c r="AB44" s="2"/>
      <c r="AC44" s="15">
        <v>460</v>
      </c>
      <c r="AD44" s="2">
        <f>Calculations!$C$11*Calculations!$C54</f>
        <v>0.81615829808709395</v>
      </c>
      <c r="AE44" s="2">
        <f>HLOOKUP($O$4,Calculations!$I$21:$AG$118,ROW()-10,FALSE)*5</f>
        <v>4.1877300000000002</v>
      </c>
      <c r="AF44" s="2">
        <f t="shared" si="2"/>
        <v>0.68364258404356193</v>
      </c>
      <c r="AH44" s="2">
        <f t="shared" si="1"/>
        <v>460</v>
      </c>
      <c r="AI44" s="217">
        <f>INPUT!B34</f>
        <v>0</v>
      </c>
      <c r="AJ44" s="72" t="str">
        <f t="shared" si="3"/>
        <v/>
      </c>
    </row>
    <row r="45" spans="1:36" ht="15.75">
      <c r="A45" s="10"/>
      <c r="B45" s="7"/>
      <c r="C45" s="29"/>
      <c r="D45" s="29"/>
      <c r="E45" s="29"/>
      <c r="F45" s="29"/>
      <c r="G45" s="29"/>
      <c r="H45" s="29"/>
      <c r="T45" s="15"/>
      <c r="U45" s="15">
        <v>465</v>
      </c>
      <c r="V45" s="3">
        <f t="shared" si="4"/>
        <v>0</v>
      </c>
      <c r="W45" s="2"/>
      <c r="X45" s="15">
        <v>465</v>
      </c>
      <c r="Y45" s="3">
        <f>Calculations!$C$11*Calculations!$C55*Calculations!$M55*SPD!$C$9</f>
        <v>0.40678867952638564</v>
      </c>
      <c r="Z45" s="3">
        <f>Calculations!$C$11*Calculations!$C55</f>
        <v>0.80594003942347336</v>
      </c>
      <c r="AA45" s="18">
        <f>Calculations!$C$11*Calculations!$C55*$X45*SPD!$C$10</f>
        <v>1886596353921.5916</v>
      </c>
      <c r="AB45" s="2"/>
      <c r="AC45" s="15">
        <v>465</v>
      </c>
      <c r="AD45" s="2">
        <f>Calculations!$C$11*Calculations!$C55</f>
        <v>0.80594003942347336</v>
      </c>
      <c r="AE45" s="2">
        <f>HLOOKUP($O$4,Calculations!$I$21:$AG$118,ROW()-10,FALSE)*5</f>
        <v>4.4581799999999996</v>
      </c>
      <c r="AF45" s="2">
        <f t="shared" si="2"/>
        <v>0.71868133321270866</v>
      </c>
      <c r="AH45" s="2">
        <f t="shared" si="1"/>
        <v>465</v>
      </c>
      <c r="AI45" s="217">
        <f>INPUT!B35</f>
        <v>0</v>
      </c>
      <c r="AJ45" s="72" t="str">
        <f t="shared" si="3"/>
        <v/>
      </c>
    </row>
    <row r="46" spans="1:36" ht="15.75">
      <c r="A46" s="10"/>
      <c r="B46" s="29"/>
      <c r="C46" s="12"/>
      <c r="E46" s="8"/>
      <c r="F46" s="22"/>
      <c r="G46" s="37"/>
      <c r="H46" s="37"/>
      <c r="T46" s="15"/>
      <c r="U46" s="15">
        <v>470</v>
      </c>
      <c r="V46" s="3">
        <f t="shared" si="4"/>
        <v>0</v>
      </c>
      <c r="W46" s="2"/>
      <c r="X46" s="15">
        <v>470</v>
      </c>
      <c r="Y46" s="3">
        <f>Calculations!$C$11*Calculations!$C56*Calculations!$M56*SPD!$C$9</f>
        <v>0.49445307852438297</v>
      </c>
      <c r="Z46" s="3">
        <f>Calculations!$C$11*Calculations!$C56</f>
        <v>0.79571485312686052</v>
      </c>
      <c r="AA46" s="18">
        <f>Calculations!$C$11*Calculations!$C56*$X46*SPD!$C$10</f>
        <v>1882689187625.3889</v>
      </c>
      <c r="AB46" s="2"/>
      <c r="AC46" s="15">
        <v>470</v>
      </c>
      <c r="AD46" s="2">
        <f>Calculations!$C$11*Calculations!$C56</f>
        <v>0.79571485312686052</v>
      </c>
      <c r="AE46" s="2">
        <f>HLOOKUP($O$4,Calculations!$I$21:$AG$118,ROW()-10,FALSE)*5</f>
        <v>4.6874950000000002</v>
      </c>
      <c r="AF46" s="2">
        <f t="shared" si="2"/>
        <v>0.74606096155350332</v>
      </c>
      <c r="AH46" s="2">
        <f t="shared" si="1"/>
        <v>470</v>
      </c>
      <c r="AI46" s="217">
        <f>INPUT!B36</f>
        <v>0</v>
      </c>
      <c r="AJ46" s="72" t="str">
        <f t="shared" ref="AJ46:AJ77" si="5">IF(AND($D$6="1nm spectral data",$AH46&lt;&gt;""),IF($AH46/5=INT($AH46/5),SUM($AI44:$AI48),""),"")</f>
        <v/>
      </c>
    </row>
    <row r="47" spans="1:36" ht="15.75">
      <c r="A47" s="10"/>
      <c r="B47" s="38"/>
      <c r="E47" s="39"/>
      <c r="F47" s="17"/>
      <c r="G47" s="40"/>
      <c r="H47" s="41"/>
      <c r="T47" s="15"/>
      <c r="U47" s="15">
        <v>475</v>
      </c>
      <c r="V47" s="3">
        <f t="shared" si="4"/>
        <v>0</v>
      </c>
      <c r="W47" s="2"/>
      <c r="X47" s="15">
        <v>475</v>
      </c>
      <c r="Y47" s="3">
        <f>Calculations!$C$11*Calculations!$C57*Calculations!$M57*SPD!$C$9</f>
        <v>0.61478130279400711</v>
      </c>
      <c r="Z47" s="3">
        <f>Calculations!$C$11*Calculations!$C57</f>
        <v>0.79939342624576393</v>
      </c>
      <c r="AA47" s="18">
        <f>Calculations!$C$11*Calculations!$C57*$X47*SPD!$C$10</f>
        <v>1911514020568.6675</v>
      </c>
      <c r="AB47" s="2"/>
      <c r="AC47" s="15">
        <v>475</v>
      </c>
      <c r="AD47" s="2">
        <f>Calculations!$C$11*Calculations!$C57</f>
        <v>0.79939342624576393</v>
      </c>
      <c r="AE47" s="2">
        <f>HLOOKUP($O$4,Calculations!$I$21:$AG$118,ROW()-10,FALSE)*5</f>
        <v>4.8643150000000004</v>
      </c>
      <c r="AF47" s="2">
        <f t="shared" si="2"/>
        <v>0.77778273180730428</v>
      </c>
      <c r="AH47" s="2">
        <f t="shared" si="1"/>
        <v>475</v>
      </c>
      <c r="AI47" s="217">
        <f>INPUT!B37</f>
        <v>0</v>
      </c>
      <c r="AJ47" s="72" t="str">
        <f t="shared" si="5"/>
        <v/>
      </c>
    </row>
    <row r="48" spans="1:36" ht="15.75">
      <c r="A48" s="10"/>
      <c r="B48" s="21"/>
      <c r="E48" s="42"/>
      <c r="F48" s="43"/>
      <c r="G48" s="40"/>
      <c r="H48" s="41"/>
      <c r="T48" s="15"/>
      <c r="U48" s="15">
        <v>480</v>
      </c>
      <c r="V48" s="3">
        <f t="shared" si="4"/>
        <v>0</v>
      </c>
      <c r="W48" s="2"/>
      <c r="X48" s="15">
        <v>480</v>
      </c>
      <c r="Y48" s="3">
        <f>Calculations!$C$11*Calculations!$C58*Calculations!$M58*SPD!$C$9</f>
        <v>0.76252389167246382</v>
      </c>
      <c r="Z48" s="3">
        <f>Calculations!$C$11*Calculations!$C58</f>
        <v>0.80307199936466733</v>
      </c>
      <c r="AA48" s="18">
        <f>Calculations!$C$11*Calculations!$C58*$X48*SPD!$C$10</f>
        <v>1940524037186.9836</v>
      </c>
      <c r="AB48" s="2"/>
      <c r="AC48" s="15">
        <v>480</v>
      </c>
      <c r="AD48" s="2">
        <f>Calculations!$C$11*Calculations!$C58</f>
        <v>0.80307199936466733</v>
      </c>
      <c r="AE48" s="2">
        <f>HLOOKUP($O$4,Calculations!$I$21:$AG$118,ROW()-10,FALSE)*5</f>
        <v>4.9709649999999996</v>
      </c>
      <c r="AF48" s="2">
        <f t="shared" si="2"/>
        <v>0.79849320054361428</v>
      </c>
      <c r="AH48" s="2">
        <f t="shared" si="1"/>
        <v>480</v>
      </c>
      <c r="AI48" s="217">
        <f>INPUT!B38</f>
        <v>0</v>
      </c>
      <c r="AJ48" s="72" t="str">
        <f t="shared" si="5"/>
        <v/>
      </c>
    </row>
    <row r="49" spans="1:36">
      <c r="T49" s="15"/>
      <c r="U49" s="15">
        <v>485</v>
      </c>
      <c r="V49" s="3">
        <f t="shared" si="4"/>
        <v>0</v>
      </c>
      <c r="W49" s="2"/>
      <c r="X49" s="15">
        <v>485</v>
      </c>
      <c r="Y49" s="3">
        <f>Calculations!$C$11*Calculations!$C59*Calculations!$M59*SPD!$C$9</f>
        <v>0.90012392226379556</v>
      </c>
      <c r="Z49" s="3">
        <f>Calculations!$C$11*Calculations!$C59</f>
        <v>0.77843733644410151</v>
      </c>
      <c r="AA49" s="18">
        <f>Calculations!$C$11*Calculations!$C59*$X49*SPD!$C$10</f>
        <v>1900591148075.2317</v>
      </c>
      <c r="AB49" s="2"/>
      <c r="AC49" s="15">
        <v>485</v>
      </c>
      <c r="AD49" s="2">
        <f>Calculations!$C$11*Calculations!$C59</f>
        <v>0.77843733644410151</v>
      </c>
      <c r="AE49" s="2">
        <f>HLOOKUP($O$4,Calculations!$I$21:$AG$118,ROW()-10,FALSE)*5</f>
        <v>4.9994699999999996</v>
      </c>
      <c r="AF49" s="2">
        <f t="shared" si="2"/>
        <v>0.77843733644410151</v>
      </c>
      <c r="AH49" s="2">
        <f t="shared" si="1"/>
        <v>485</v>
      </c>
      <c r="AI49" s="217">
        <f>INPUT!B39</f>
        <v>0</v>
      </c>
      <c r="AJ49" s="72" t="str">
        <f t="shared" si="5"/>
        <v/>
      </c>
    </row>
    <row r="50" spans="1:36">
      <c r="T50" s="15"/>
      <c r="U50" s="15">
        <v>490</v>
      </c>
      <c r="V50" s="3">
        <f t="shared" si="4"/>
        <v>0</v>
      </c>
      <c r="W50" s="2"/>
      <c r="X50" s="15">
        <v>490</v>
      </c>
      <c r="Y50" s="3">
        <f>Calculations!$C$11*Calculations!$C60*Calculations!$M60*SPD!$C$9</f>
        <v>1.0709876265881195</v>
      </c>
      <c r="Z50" s="3">
        <f>Calculations!$C$11*Calculations!$C60</f>
        <v>0.75380267352353569</v>
      </c>
      <c r="AA50" s="18">
        <f>Calculations!$C$11*Calculations!$C60*$X50*SPD!$C$10</f>
        <v>1859418121207.4844</v>
      </c>
      <c r="AB50" s="2"/>
      <c r="AC50" s="15">
        <v>490</v>
      </c>
      <c r="AD50" s="2">
        <f>Calculations!$C$11*Calculations!$C60</f>
        <v>0.75380267352353569</v>
      </c>
      <c r="AE50" s="2">
        <f>HLOOKUP($O$4,Calculations!$I$21:$AG$118,ROW()-10,FALSE)*5</f>
        <v>4.9507449999999995</v>
      </c>
      <c r="AF50" s="2">
        <f t="shared" si="2"/>
        <v>0.74645608773195493</v>
      </c>
      <c r="AH50" s="2">
        <f t="shared" si="1"/>
        <v>490</v>
      </c>
      <c r="AI50" s="217">
        <f>INPUT!B40</f>
        <v>0</v>
      </c>
      <c r="AJ50" s="72" t="str">
        <f t="shared" si="5"/>
        <v/>
      </c>
    </row>
    <row r="51" spans="1:36">
      <c r="T51" s="15"/>
      <c r="U51" s="15">
        <v>495</v>
      </c>
      <c r="V51" s="3">
        <f t="shared" si="4"/>
        <v>0</v>
      </c>
      <c r="W51" s="2"/>
      <c r="X51" s="15">
        <v>495</v>
      </c>
      <c r="Y51" s="3">
        <f>Calculations!$C$11*Calculations!$C61*Calculations!$M61*SPD!$C$9</f>
        <v>1.3347261020110295</v>
      </c>
      <c r="Z51" s="3">
        <f>Calculations!$C$11*Calculations!$C61</f>
        <v>0.75568698969743719</v>
      </c>
      <c r="AA51" s="18">
        <f>Calculations!$C$11*Calculations!$C61*$X51*SPD!$C$10</f>
        <v>1883087280214.9473</v>
      </c>
      <c r="AB51" s="2"/>
      <c r="AC51" s="15">
        <v>495</v>
      </c>
      <c r="AD51" s="2">
        <f>Calculations!$C$11*Calculations!$C61</f>
        <v>0.75568698969743719</v>
      </c>
      <c r="AE51" s="2">
        <f>HLOOKUP($O$4,Calculations!$I$21:$AG$118,ROW()-10,FALSE)*5</f>
        <v>4.8259999999999996</v>
      </c>
      <c r="AF51" s="2">
        <f t="shared" si="2"/>
        <v>0.72946640589499123</v>
      </c>
      <c r="AH51" s="2">
        <f t="shared" si="1"/>
        <v>495</v>
      </c>
      <c r="AI51" s="217">
        <f>INPUT!B41</f>
        <v>0</v>
      </c>
      <c r="AJ51" s="72" t="str">
        <f t="shared" si="5"/>
        <v/>
      </c>
    </row>
    <row r="52" spans="1:36">
      <c r="T52" s="15"/>
      <c r="U52" s="15">
        <v>500</v>
      </c>
      <c r="V52" s="3">
        <f t="shared" si="4"/>
        <v>0</v>
      </c>
      <c r="W52" s="2"/>
      <c r="X52" s="15">
        <v>500</v>
      </c>
      <c r="Y52" s="3">
        <f>Calculations!$C$11*Calculations!$C62*Calculations!$M62*SPD!$C$9</f>
        <v>1.6712589865267264</v>
      </c>
      <c r="Z52" s="3">
        <f>Calculations!$C$11*Calculations!$C62</f>
        <v>0.75756437823834644</v>
      </c>
      <c r="AA52" s="18">
        <f>Calculations!$C$11*Calculations!$C62*$X52*SPD!$C$10</f>
        <v>1906833860645.8723</v>
      </c>
      <c r="AB52" s="2"/>
      <c r="AC52" s="15">
        <v>500</v>
      </c>
      <c r="AD52" s="2">
        <f>Calculations!$C$11*Calculations!$C62</f>
        <v>0.75756437823834644</v>
      </c>
      <c r="AE52" s="2">
        <f>HLOOKUP($O$4,Calculations!$I$21:$AG$118,ROW()-10,FALSE)*5</f>
        <v>4.6219200000000003</v>
      </c>
      <c r="AF52" s="2">
        <f t="shared" si="2"/>
        <v>0.70035462780402291</v>
      </c>
      <c r="AH52" s="2">
        <f t="shared" si="1"/>
        <v>500</v>
      </c>
      <c r="AI52" s="217">
        <f>INPUT!B42</f>
        <v>0</v>
      </c>
      <c r="AJ52" s="72" t="str">
        <f t="shared" si="5"/>
        <v/>
      </c>
    </row>
    <row r="53" spans="1:36">
      <c r="T53" s="15"/>
      <c r="U53" s="15">
        <v>505</v>
      </c>
      <c r="V53" s="3">
        <f t="shared" si="4"/>
        <v>0</v>
      </c>
      <c r="W53" s="2"/>
      <c r="X53" s="15">
        <v>505</v>
      </c>
      <c r="Y53" s="3">
        <f>Calculations!$C$11*Calculations!$C63*Calculations!$M63*SPD!$C$9</f>
        <v>2.092487187796686</v>
      </c>
      <c r="Z53" s="3">
        <f>Calculations!$C$11*Calculations!$C63</f>
        <v>0.75218853503633321</v>
      </c>
      <c r="AA53" s="18">
        <f>Calculations!$C$11*Calculations!$C63*$X53*SPD!$C$10</f>
        <v>1912235574285.5278</v>
      </c>
      <c r="AB53" s="2"/>
      <c r="AC53" s="15">
        <v>505</v>
      </c>
      <c r="AD53" s="2">
        <f>Calculations!$C$11*Calculations!$C63</f>
        <v>0.75218853503633321</v>
      </c>
      <c r="AE53" s="2">
        <f>HLOOKUP($O$4,Calculations!$I$21:$AG$118,ROW()-10,FALSE)*5</f>
        <v>4.33371</v>
      </c>
      <c r="AF53" s="2">
        <f t="shared" si="2"/>
        <v>0.65202250962048125</v>
      </c>
      <c r="AH53" s="2">
        <f t="shared" si="1"/>
        <v>505</v>
      </c>
      <c r="AI53" s="217">
        <f>INPUT!B43</f>
        <v>0</v>
      </c>
      <c r="AJ53" s="72" t="str">
        <f t="shared" si="5"/>
        <v/>
      </c>
    </row>
    <row r="54" spans="1:36">
      <c r="T54" s="15"/>
      <c r="U54" s="15">
        <v>510</v>
      </c>
      <c r="V54" s="3">
        <f t="shared" si="4"/>
        <v>0</v>
      </c>
      <c r="W54" s="2"/>
      <c r="X54" s="15">
        <v>510</v>
      </c>
      <c r="Y54" s="3">
        <f>Calculations!$C$11*Calculations!$C64*Calculations!$M64*SPD!$C$9</f>
        <v>2.5656733488940975</v>
      </c>
      <c r="Z54" s="3">
        <f>Calculations!$C$11*Calculations!$C64</f>
        <v>0.74681269183431997</v>
      </c>
      <c r="AA54" s="18">
        <f>Calculations!$C$11*Calculations!$C64*$X54*SPD!$C$10</f>
        <v>1917366661688.2168</v>
      </c>
      <c r="AB54" s="2"/>
      <c r="AC54" s="15">
        <v>510</v>
      </c>
      <c r="AD54" s="2">
        <f>Calculations!$C$11*Calculations!$C64</f>
        <v>0.74681269183431997</v>
      </c>
      <c r="AE54" s="2">
        <f>HLOOKUP($O$4,Calculations!$I$21:$AG$118,ROW()-10,FALSE)*5</f>
        <v>3.9772449999999999</v>
      </c>
      <c r="AF54" s="2">
        <f t="shared" si="2"/>
        <v>0.59411438503173142</v>
      </c>
      <c r="AH54" s="2">
        <f t="shared" si="1"/>
        <v>510</v>
      </c>
      <c r="AI54" s="217">
        <f>INPUT!B44</f>
        <v>0</v>
      </c>
      <c r="AJ54" s="72" t="str">
        <f t="shared" si="5"/>
        <v/>
      </c>
    </row>
    <row r="55" spans="1:36" ht="15.75">
      <c r="A55" s="10"/>
      <c r="B55" s="7"/>
      <c r="T55" s="15"/>
      <c r="U55" s="15">
        <v>515</v>
      </c>
      <c r="V55" s="3">
        <f t="shared" si="4"/>
        <v>0</v>
      </c>
      <c r="W55" s="2"/>
      <c r="X55" s="15">
        <v>515</v>
      </c>
      <c r="Y55" s="3">
        <f>Calculations!$C$11*Calculations!$C65*Calculations!$M65*SPD!$C$9</f>
        <v>3.0589325266862191</v>
      </c>
      <c r="Z55" s="3">
        <f>Calculations!$C$11*Calculations!$C65</f>
        <v>0.73637967654793857</v>
      </c>
      <c r="AA55" s="18">
        <f>Calculations!$C$11*Calculations!$C65*$X55*SPD!$C$10</f>
        <v>1909116048912.2488</v>
      </c>
      <c r="AB55" s="2"/>
      <c r="AC55" s="15">
        <v>515</v>
      </c>
      <c r="AD55" s="2">
        <f>Calculations!$C$11*Calculations!$C65</f>
        <v>0.73637967654793857</v>
      </c>
      <c r="AE55" s="2">
        <f>HLOOKUP($O$4,Calculations!$I$21:$AG$118,ROW()-10,FALSE)*5</f>
        <v>3.5752899999999999</v>
      </c>
      <c r="AF55" s="2">
        <f t="shared" si="2"/>
        <v>0.52660999941295361</v>
      </c>
      <c r="AH55" s="2">
        <f t="shared" si="1"/>
        <v>515</v>
      </c>
      <c r="AI55" s="217">
        <f>INPUT!B45</f>
        <v>0</v>
      </c>
      <c r="AJ55" s="72" t="str">
        <f t="shared" si="5"/>
        <v/>
      </c>
    </row>
    <row r="56" spans="1:36" ht="15.75">
      <c r="C56" s="44"/>
      <c r="D56" s="25"/>
      <c r="E56" s="25"/>
      <c r="F56" s="22"/>
      <c r="G56" s="37"/>
      <c r="H56" s="37"/>
      <c r="I56" s="45"/>
      <c r="J56" s="190"/>
      <c r="T56" s="15"/>
      <c r="U56" s="15">
        <v>520</v>
      </c>
      <c r="V56" s="3">
        <f t="shared" si="4"/>
        <v>0</v>
      </c>
      <c r="W56" s="2"/>
      <c r="X56" s="15">
        <v>520</v>
      </c>
      <c r="Y56" s="3">
        <f>Calculations!$C$11*Calculations!$C66*Calculations!$M66*SPD!$C$9</f>
        <v>3.5203411221090155</v>
      </c>
      <c r="Z56" s="3">
        <f>Calculations!$C$11*Calculations!$C66</f>
        <v>0.72594666126155716</v>
      </c>
      <c r="AA56" s="18">
        <f>Calculations!$C$11*Calculations!$C66*$X56*SPD!$C$10</f>
        <v>1900340225939.2815</v>
      </c>
      <c r="AB56" s="2"/>
      <c r="AC56" s="15">
        <v>520</v>
      </c>
      <c r="AD56" s="2">
        <f>Calculations!$C$11*Calculations!$C66</f>
        <v>0.72594666126155716</v>
      </c>
      <c r="AE56" s="2">
        <f>HLOOKUP($O$4,Calculations!$I$21:$AG$118,ROW()-10,FALSE)*5</f>
        <v>3.1463799999999997</v>
      </c>
      <c r="AF56" s="2">
        <f t="shared" si="2"/>
        <v>0.45686923935139889</v>
      </c>
      <c r="AH56" s="2">
        <f t="shared" si="1"/>
        <v>520</v>
      </c>
      <c r="AI56" s="217">
        <f>INPUT!B46</f>
        <v>0</v>
      </c>
      <c r="AJ56" s="72" t="str">
        <f t="shared" si="5"/>
        <v/>
      </c>
    </row>
    <row r="57" spans="1:36" ht="15.75">
      <c r="C57" s="23"/>
      <c r="D57" s="31"/>
      <c r="E57" s="31"/>
      <c r="F57" s="43"/>
      <c r="G57" s="46"/>
      <c r="H57" s="46"/>
      <c r="I57" s="47"/>
      <c r="J57" s="191"/>
      <c r="L57" s="127"/>
      <c r="T57" s="15"/>
      <c r="U57" s="15">
        <v>525</v>
      </c>
      <c r="V57" s="3">
        <f t="shared" si="4"/>
        <v>0</v>
      </c>
      <c r="W57" s="2"/>
      <c r="X57" s="15">
        <v>525</v>
      </c>
      <c r="Y57" s="3">
        <f>Calculations!$C$11*Calculations!$C67*Calculations!$M67*SPD!$C$9</f>
        <v>3.9872854437615941</v>
      </c>
      <c r="Z57" s="3">
        <f>Calculations!$C$11*Calculations!$C67</f>
        <v>0.73599172910037047</v>
      </c>
      <c r="AA57" s="18">
        <f>Calculations!$C$11*Calculations!$C67*$X57*SPD!$C$10</f>
        <v>1945160952711.0879</v>
      </c>
      <c r="AB57" s="2"/>
      <c r="AC57" s="15">
        <v>525</v>
      </c>
      <c r="AD57" s="2">
        <f>Calculations!$C$11*Calculations!$C67</f>
        <v>0.73599172910037047</v>
      </c>
      <c r="AE57" s="2">
        <f>HLOOKUP($O$4,Calculations!$I$21:$AG$118,ROW()-10,FALSE)*5</f>
        <v>2.7092450000000001</v>
      </c>
      <c r="AF57" s="2">
        <f t="shared" si="2"/>
        <v>0.39883865931919449</v>
      </c>
      <c r="AH57" s="2">
        <f t="shared" si="1"/>
        <v>525</v>
      </c>
      <c r="AI57" s="217">
        <f>INPUT!B47</f>
        <v>0</v>
      </c>
      <c r="AJ57" s="72" t="str">
        <f t="shared" si="5"/>
        <v/>
      </c>
    </row>
    <row r="58" spans="1:36" ht="15.75">
      <c r="C58" s="12"/>
      <c r="D58" s="25"/>
      <c r="E58" s="25"/>
      <c r="F58" s="43"/>
      <c r="G58" s="46"/>
      <c r="H58" s="46"/>
      <c r="I58" s="47"/>
      <c r="J58" s="191"/>
      <c r="T58" s="15"/>
      <c r="U58" s="15">
        <v>530</v>
      </c>
      <c r="V58" s="3">
        <f t="shared" si="4"/>
        <v>0</v>
      </c>
      <c r="W58" s="2"/>
      <c r="X58" s="15">
        <v>530</v>
      </c>
      <c r="Y58" s="3">
        <f>Calculations!$C$11*Calculations!$C68*Calculations!$M68*SPD!$C$9</f>
        <v>4.3922309678399554</v>
      </c>
      <c r="Z58" s="3">
        <f>Calculations!$C$11*Calculations!$C68</f>
        <v>0.74602986930619164</v>
      </c>
      <c r="AA58" s="18">
        <f>Calculations!$C$11*Calculations!$C68*$X58*SPD!$C$10</f>
        <v>1990468876458.4644</v>
      </c>
      <c r="AB58" s="2"/>
      <c r="AC58" s="15">
        <v>530</v>
      </c>
      <c r="AD58" s="2">
        <f>Calculations!$C$11*Calculations!$C68</f>
        <v>0.74602986930619164</v>
      </c>
      <c r="AE58" s="2">
        <f>HLOOKUP($O$4,Calculations!$I$21:$AG$118,ROW()-10,FALSE)*5</f>
        <v>2.2811300000000001</v>
      </c>
      <c r="AF58" s="2">
        <f t="shared" si="2"/>
        <v>0.3403943049504114</v>
      </c>
      <c r="AH58" s="2">
        <f t="shared" si="1"/>
        <v>530</v>
      </c>
      <c r="AI58" s="217">
        <f>INPUT!B48</f>
        <v>0</v>
      </c>
      <c r="AJ58" s="72" t="str">
        <f t="shared" si="5"/>
        <v/>
      </c>
    </row>
    <row r="59" spans="1:36" ht="15.75">
      <c r="C59" s="12"/>
      <c r="D59" s="25"/>
      <c r="E59" s="25"/>
      <c r="F59" s="43"/>
      <c r="G59" s="46"/>
      <c r="H59" s="46"/>
      <c r="I59" s="47"/>
      <c r="J59" s="191"/>
      <c r="T59" s="15"/>
      <c r="U59" s="15">
        <v>535</v>
      </c>
      <c r="V59" s="3">
        <f t="shared" si="4"/>
        <v>0</v>
      </c>
      <c r="W59" s="2"/>
      <c r="X59" s="15">
        <v>535</v>
      </c>
      <c r="Y59" s="3">
        <f>Calculations!$C$11*Calculations!$C69*Calculations!$M69*SPD!$C$9</f>
        <v>4.5904460402122131</v>
      </c>
      <c r="Z59" s="3">
        <f>Calculations!$C$11*Calculations!$C69</f>
        <v>0.73465469593285959</v>
      </c>
      <c r="AA59" s="18">
        <f>Calculations!$C$11*Calculations!$C69*$X59*SPD!$C$10</f>
        <v>1978610669470.7712</v>
      </c>
      <c r="AB59" s="2"/>
      <c r="AC59" s="15">
        <v>535</v>
      </c>
      <c r="AD59" s="2">
        <f>Calculations!$C$11*Calculations!$C69</f>
        <v>0.73465469593285959</v>
      </c>
      <c r="AE59" s="2">
        <f>HLOOKUP($O$4,Calculations!$I$21:$AG$118,ROW()-10,FALSE)*5</f>
        <v>1.8767449999999999</v>
      </c>
      <c r="AF59" s="2">
        <f t="shared" si="2"/>
        <v>0.27578113826435896</v>
      </c>
      <c r="AH59" s="2">
        <f t="shared" si="1"/>
        <v>535</v>
      </c>
      <c r="AI59" s="217">
        <f>INPUT!B49</f>
        <v>0</v>
      </c>
      <c r="AJ59" s="72" t="str">
        <f t="shared" si="5"/>
        <v/>
      </c>
    </row>
    <row r="60" spans="1:36" ht="15.75">
      <c r="C60" s="12"/>
      <c r="D60" s="33"/>
      <c r="E60" s="34"/>
      <c r="F60" s="43"/>
      <c r="G60" s="46"/>
      <c r="H60" s="46"/>
      <c r="I60" s="47"/>
      <c r="J60" s="191"/>
      <c r="T60" s="15"/>
      <c r="U60" s="15">
        <v>540</v>
      </c>
      <c r="V60" s="3">
        <f t="shared" si="4"/>
        <v>0</v>
      </c>
      <c r="W60" s="2"/>
      <c r="X60" s="15">
        <v>540</v>
      </c>
      <c r="Y60" s="3">
        <f>Calculations!$C$11*Calculations!$C70*Calculations!$M70*SPD!$C$9</f>
        <v>4.7127698585704927</v>
      </c>
      <c r="Z60" s="3">
        <f>Calculations!$C$11*Calculations!$C70</f>
        <v>0.72327952255952743</v>
      </c>
      <c r="AA60" s="18">
        <f>Calculations!$C$11*Calculations!$C70*$X60*SPD!$C$10</f>
        <v>1966179822945.5793</v>
      </c>
      <c r="AB60" s="2"/>
      <c r="AC60" s="15">
        <v>540</v>
      </c>
      <c r="AD60" s="2">
        <f>Calculations!$C$11*Calculations!$C70</f>
        <v>0.72327952255952743</v>
      </c>
      <c r="AE60" s="2">
        <f>HLOOKUP($O$4,Calculations!$I$21:$AG$118,ROW()-10,FALSE)*5</f>
        <v>1.5074350000000001</v>
      </c>
      <c r="AF60" s="2">
        <f t="shared" si="2"/>
        <v>0.21808249016186143</v>
      </c>
      <c r="AH60" s="2">
        <f t="shared" si="1"/>
        <v>540</v>
      </c>
      <c r="AI60" s="217">
        <f>INPUT!B50</f>
        <v>0</v>
      </c>
      <c r="AJ60" s="72" t="str">
        <f t="shared" si="5"/>
        <v/>
      </c>
    </row>
    <row r="61" spans="1:36" ht="15.75">
      <c r="C61" s="12"/>
      <c r="D61" s="7"/>
      <c r="E61" s="7"/>
      <c r="F61" s="43"/>
      <c r="G61" s="46"/>
      <c r="H61" s="46"/>
      <c r="I61" s="47"/>
      <c r="J61" s="191"/>
      <c r="T61" s="15"/>
      <c r="U61" s="15">
        <v>545</v>
      </c>
      <c r="V61" s="3">
        <f t="shared" si="4"/>
        <v>0</v>
      </c>
      <c r="W61" s="2"/>
      <c r="X61" s="15">
        <v>545</v>
      </c>
      <c r="Y61" s="3">
        <f>Calculations!$C$11*Calculations!$C71*Calculations!$M71*SPD!$C$9</f>
        <v>4.8343894447407685</v>
      </c>
      <c r="Z61" s="3">
        <f>Calculations!$C$11*Calculations!$C71</f>
        <v>0.7220394762539083</v>
      </c>
      <c r="AA61" s="18">
        <f>Calculations!$C$11*Calculations!$C71*$X61*SPD!$C$10</f>
        <v>1980983008358.6113</v>
      </c>
      <c r="AB61" s="2"/>
      <c r="AC61" s="15">
        <v>545</v>
      </c>
      <c r="AD61" s="2">
        <f>Calculations!$C$11*Calculations!$C71</f>
        <v>0.7220394762539083</v>
      </c>
      <c r="AE61" s="2">
        <f>HLOOKUP($O$4,Calculations!$I$21:$AG$118,ROW()-10,FALSE)*5</f>
        <v>1.1809699999999999</v>
      </c>
      <c r="AF61" s="2">
        <f t="shared" si="2"/>
        <v>0.17055947135827959</v>
      </c>
      <c r="AH61" s="2">
        <f t="shared" si="1"/>
        <v>545</v>
      </c>
      <c r="AI61" s="217">
        <f>INPUT!B51</f>
        <v>0</v>
      </c>
      <c r="AJ61" s="72" t="str">
        <f t="shared" si="5"/>
        <v/>
      </c>
    </row>
    <row r="62" spans="1:36">
      <c r="T62" s="15"/>
      <c r="U62" s="15">
        <v>550</v>
      </c>
      <c r="V62" s="3">
        <f t="shared" si="4"/>
        <v>0</v>
      </c>
      <c r="W62" s="2"/>
      <c r="X62" s="15">
        <v>550</v>
      </c>
      <c r="Y62" s="3">
        <f>Calculations!$C$11*Calculations!$C72*Calculations!$M72*SPD!$C$9</f>
        <v>4.8981631685385745</v>
      </c>
      <c r="Z62" s="3">
        <f>Calculations!$C$11*Calculations!$C72</f>
        <v>0.72079250231529712</v>
      </c>
      <c r="AA62" s="18">
        <f>Calculations!$C$11*Calculations!$C72*$X62*SPD!$C$10</f>
        <v>1995704587406.3728</v>
      </c>
      <c r="AB62" s="2"/>
      <c r="AC62" s="15">
        <v>550</v>
      </c>
      <c r="AD62" s="2">
        <f>Calculations!$C$11*Calculations!$C72</f>
        <v>0.72079250231529712</v>
      </c>
      <c r="AE62" s="2">
        <f>HLOOKUP($O$4,Calculations!$I$21:$AG$118,ROW()-10,FALSE)*5</f>
        <v>0.90098499999999992</v>
      </c>
      <c r="AF62" s="2">
        <f t="shared" si="2"/>
        <v>0.12989841577178141</v>
      </c>
      <c r="AH62" s="2">
        <f t="shared" si="1"/>
        <v>550</v>
      </c>
      <c r="AI62" s="217">
        <f>INPUT!B52</f>
        <v>0</v>
      </c>
      <c r="AJ62" s="72" t="str">
        <f t="shared" si="5"/>
        <v/>
      </c>
    </row>
    <row r="63" spans="1:36">
      <c r="G63" s="48"/>
      <c r="T63" s="15"/>
      <c r="U63" s="15">
        <v>555</v>
      </c>
      <c r="V63" s="3">
        <f t="shared" si="4"/>
        <v>0</v>
      </c>
      <c r="W63" s="2"/>
      <c r="X63" s="15">
        <v>555</v>
      </c>
      <c r="Y63" s="3">
        <f>Calculations!$C$11*Calculations!$C73*Calculations!$M73*SPD!$C$9</f>
        <v>4.8273040017113793</v>
      </c>
      <c r="Z63" s="3">
        <f>Calculations!$C$11*Calculations!$C73</f>
        <v>0.70677790077190428</v>
      </c>
      <c r="AA63" s="18">
        <f>Calculations!$C$11*Calculations!$C73*$X63*SPD!$C$10</f>
        <v>1974691471466.8687</v>
      </c>
      <c r="AB63" s="2"/>
      <c r="AC63" s="15">
        <v>555</v>
      </c>
      <c r="AD63" s="2">
        <f>Calculations!$C$11*Calculations!$C73</f>
        <v>0.70677790077190428</v>
      </c>
      <c r="AE63" s="2">
        <f>HLOOKUP($O$4,Calculations!$I$21:$AG$118,ROW()-10,FALSE)*5</f>
        <v>0.66864499999999993</v>
      </c>
      <c r="AF63" s="2">
        <f t="shared" si="2"/>
        <v>9.4526721724828816E-2</v>
      </c>
      <c r="AH63" s="2">
        <f t="shared" si="1"/>
        <v>555</v>
      </c>
      <c r="AI63" s="217">
        <f>INPUT!B53</f>
        <v>0</v>
      </c>
      <c r="AJ63" s="72" t="str">
        <f t="shared" si="5"/>
        <v/>
      </c>
    </row>
    <row r="64" spans="1:36">
      <c r="T64" s="15"/>
      <c r="U64" s="15">
        <v>560</v>
      </c>
      <c r="V64" s="3">
        <f t="shared" si="4"/>
        <v>0</v>
      </c>
      <c r="W64" s="2"/>
      <c r="X64" s="15">
        <v>560</v>
      </c>
      <c r="Y64" s="3">
        <f>Calculations!$C$11*Calculations!$C74*Calculations!$M74*SPD!$C$9</f>
        <v>4.7079261359721061</v>
      </c>
      <c r="Z64" s="3">
        <f>Calculations!$C$11*Calculations!$C74</f>
        <v>0.69276329922851143</v>
      </c>
      <c r="AA64" s="18">
        <f>Calculations!$C$11*Calculations!$C74*$X64*SPD!$C$10</f>
        <v>1952972844087.4377</v>
      </c>
      <c r="AB64" s="2"/>
      <c r="AC64" s="15">
        <v>560</v>
      </c>
      <c r="AD64" s="2">
        <f>Calculations!$C$11*Calculations!$C74</f>
        <v>0.69276329922851143</v>
      </c>
      <c r="AE64" s="2">
        <f>HLOOKUP($O$4,Calculations!$I$21:$AG$118,ROW()-10,FALSE)*5</f>
        <v>0.48297499999999999</v>
      </c>
      <c r="AF64" s="2">
        <f t="shared" si="2"/>
        <v>6.6924564892856711E-2</v>
      </c>
      <c r="AH64" s="2">
        <f t="shared" si="1"/>
        <v>560</v>
      </c>
      <c r="AI64" s="217">
        <f>INPUT!B54</f>
        <v>0</v>
      </c>
      <c r="AJ64" s="72" t="str">
        <f t="shared" si="5"/>
        <v/>
      </c>
    </row>
    <row r="65" spans="20:36">
      <c r="T65" s="15"/>
      <c r="U65" s="15">
        <v>565</v>
      </c>
      <c r="V65" s="3">
        <f t="shared" si="4"/>
        <v>0</v>
      </c>
      <c r="W65" s="2"/>
      <c r="X65" s="15">
        <v>565</v>
      </c>
      <c r="Y65" s="3">
        <f>Calculations!$C$11*Calculations!$C75*Calculations!$M75*SPD!$C$9</f>
        <v>4.5454588726516576</v>
      </c>
      <c r="Z65" s="3">
        <f>Calculations!$C$11*Calculations!$C75</f>
        <v>0.68006564071695208</v>
      </c>
      <c r="AA65" s="18">
        <f>Calculations!$C$11*Calculations!$C75*$X65*SPD!$C$10</f>
        <v>1934294454871.2678</v>
      </c>
      <c r="AB65" s="2"/>
      <c r="AC65" s="15">
        <v>565</v>
      </c>
      <c r="AD65" s="2">
        <f>Calculations!$C$11*Calculations!$C75</f>
        <v>0.68006564071695208</v>
      </c>
      <c r="AE65" s="2">
        <f>HLOOKUP($O$4,Calculations!$I$21:$AG$118,ROW()-10,FALSE)*5</f>
        <v>0.34021500000000005</v>
      </c>
      <c r="AF65" s="2">
        <f t="shared" si="2"/>
        <v>4.6278611924167538E-2</v>
      </c>
      <c r="AH65" s="2">
        <f t="shared" si="1"/>
        <v>565</v>
      </c>
      <c r="AI65" s="217">
        <f>INPUT!B55</f>
        <v>0</v>
      </c>
      <c r="AJ65" s="72" t="str">
        <f t="shared" si="5"/>
        <v/>
      </c>
    </row>
    <row r="66" spans="20:36">
      <c r="T66" s="15"/>
      <c r="U66" s="15">
        <v>570</v>
      </c>
      <c r="V66" s="3">
        <f t="shared" si="4"/>
        <v>0</v>
      </c>
      <c r="W66" s="2"/>
      <c r="X66" s="15">
        <v>570</v>
      </c>
      <c r="Y66" s="3">
        <f>Calculations!$C$11*Calculations!$C76*Calculations!$M76*SPD!$C$9</f>
        <v>4.3393432328191128</v>
      </c>
      <c r="Z66" s="3">
        <f>Calculations!$C$11*Calculations!$C76</f>
        <v>0.66736798220539262</v>
      </c>
      <c r="AA66" s="18">
        <f>Calculations!$C$11*Calculations!$C76*$X66*SPD!$C$10</f>
        <v>1914976850668.3247</v>
      </c>
      <c r="AB66" s="2"/>
      <c r="AC66" s="15">
        <v>570</v>
      </c>
      <c r="AD66" s="2">
        <f>Calculations!$C$11*Calculations!$C76</f>
        <v>0.66736798220539262</v>
      </c>
      <c r="AE66" s="2">
        <f>HLOOKUP($O$4,Calculations!$I$21:$AG$118,ROW()-10,FALSE)*5</f>
        <v>0.23444999999999999</v>
      </c>
      <c r="AF66" s="2">
        <f t="shared" si="2"/>
        <v>3.1296202083031667E-2</v>
      </c>
      <c r="AH66" s="2">
        <f t="shared" si="1"/>
        <v>570</v>
      </c>
      <c r="AI66" s="217">
        <f>INPUT!B56</f>
        <v>0</v>
      </c>
      <c r="AJ66" s="72" t="str">
        <f t="shared" si="5"/>
        <v/>
      </c>
    </row>
    <row r="67" spans="20:36">
      <c r="T67" s="15"/>
      <c r="U67" s="15">
        <v>575</v>
      </c>
      <c r="V67" s="3">
        <f t="shared" si="4"/>
        <v>0</v>
      </c>
      <c r="W67" s="2"/>
      <c r="X67" s="15">
        <v>575</v>
      </c>
      <c r="Y67" s="3">
        <f>Calculations!$C$11*Calculations!$C77*Calculations!$M77*SPD!$C$9</f>
        <v>4.1606867827301164</v>
      </c>
      <c r="Z67" s="3">
        <f>Calculations!$C$11*Calculations!$C77</f>
        <v>0.66547604563519958</v>
      </c>
      <c r="AA67" s="18">
        <f>Calculations!$C$11*Calculations!$C77*$X67*SPD!$C$10</f>
        <v>1926298460929.8477</v>
      </c>
      <c r="AB67" s="2"/>
      <c r="AC67" s="15">
        <v>575</v>
      </c>
      <c r="AD67" s="2">
        <f>Calculations!$C$11*Calculations!$C77</f>
        <v>0.66547604563519958</v>
      </c>
      <c r="AE67" s="2">
        <f>HLOOKUP($O$4,Calculations!$I$21:$AG$118,ROW()-10,FALSE)*5</f>
        <v>0.158635</v>
      </c>
      <c r="AF67" s="2">
        <f t="shared" si="2"/>
        <v>2.1115796774326057E-2</v>
      </c>
      <c r="AH67" s="2">
        <f t="shared" si="1"/>
        <v>575</v>
      </c>
      <c r="AI67" s="217">
        <f>INPUT!B57</f>
        <v>0</v>
      </c>
      <c r="AJ67" s="72" t="str">
        <f t="shared" si="5"/>
        <v/>
      </c>
    </row>
    <row r="68" spans="20:36">
      <c r="T68" s="15"/>
      <c r="U68" s="15">
        <v>580</v>
      </c>
      <c r="V68" s="3">
        <f t="shared" si="4"/>
        <v>0</v>
      </c>
      <c r="W68" s="2"/>
      <c r="X68" s="15">
        <v>580</v>
      </c>
      <c r="Y68" s="3">
        <f>Calculations!$C$11*Calculations!$C78*Calculations!$M78*SPD!$C$9</f>
        <v>3.9430920701494636</v>
      </c>
      <c r="Z68" s="3">
        <f>Calculations!$C$11*Calculations!$C78</f>
        <v>0.66358410906500653</v>
      </c>
      <c r="AA68" s="18">
        <f>Calculations!$C$11*Calculations!$C78*$X68*SPD!$C$10</f>
        <v>1937524828890.7063</v>
      </c>
      <c r="AB68" s="2"/>
      <c r="AC68" s="15">
        <v>580</v>
      </c>
      <c r="AD68" s="2">
        <f>Calculations!$C$11*Calculations!$C78</f>
        <v>0.66358410906500653</v>
      </c>
      <c r="AE68" s="2">
        <f>HLOOKUP($O$4,Calculations!$I$21:$AG$118,ROW()-10,FALSE)*5</f>
        <v>0.10579</v>
      </c>
      <c r="AF68" s="2">
        <f t="shared" si="2"/>
        <v>1.4041600989302275E-2</v>
      </c>
      <c r="AH68" s="2">
        <f t="shared" si="1"/>
        <v>580</v>
      </c>
      <c r="AI68" s="217">
        <f>INPUT!B58</f>
        <v>0</v>
      </c>
      <c r="AJ68" s="72" t="str">
        <f t="shared" si="5"/>
        <v/>
      </c>
    </row>
    <row r="69" spans="20:36">
      <c r="T69" s="15"/>
      <c r="U69" s="15">
        <v>585</v>
      </c>
      <c r="V69" s="3">
        <f t="shared" si="4"/>
        <v>0</v>
      </c>
      <c r="W69" s="2"/>
      <c r="X69" s="15">
        <v>585</v>
      </c>
      <c r="Y69" s="3">
        <f>Calculations!$C$11*Calculations!$C79*Calculations!$M79*SPD!$C$9</f>
        <v>3.5625468443202615</v>
      </c>
      <c r="Z69" s="3">
        <f>Calculations!$C$11*Calculations!$C79</f>
        <v>0.63898269878280367</v>
      </c>
      <c r="AA69" s="18">
        <f>Calculations!$C$11*Calculations!$C79*$X69*SPD!$C$10</f>
        <v>1881777498052.3511</v>
      </c>
      <c r="AB69" s="2"/>
      <c r="AC69" s="15">
        <v>585</v>
      </c>
      <c r="AD69" s="2">
        <f>Calculations!$C$11*Calculations!$C79</f>
        <v>0.63898269878280367</v>
      </c>
      <c r="AE69" s="2">
        <f>HLOOKUP($O$4,Calculations!$I$21:$AG$118,ROW()-10,FALSE)*5</f>
        <v>6.9779999999999995E-2</v>
      </c>
      <c r="AF69" s="2">
        <f t="shared" si="2"/>
        <v>8.9185879145317476E-3</v>
      </c>
      <c r="AH69" s="2">
        <f t="shared" si="1"/>
        <v>585</v>
      </c>
      <c r="AI69" s="217">
        <f>INPUT!B59</f>
        <v>0</v>
      </c>
      <c r="AJ69" s="72" t="str">
        <f t="shared" si="5"/>
        <v/>
      </c>
    </row>
    <row r="70" spans="20:36">
      <c r="T70" s="15"/>
      <c r="U70" s="15">
        <v>590</v>
      </c>
      <c r="V70" s="3">
        <f t="shared" si="4"/>
        <v>0</v>
      </c>
      <c r="W70" s="2"/>
      <c r="X70" s="15">
        <v>590</v>
      </c>
      <c r="Y70" s="3">
        <f>Calculations!$C$11*Calculations!$C80*Calculations!$M80*SPD!$C$9</f>
        <v>3.1765489183130291</v>
      </c>
      <c r="Z70" s="3">
        <f>Calculations!$C$11*Calculations!$C80</f>
        <v>0.6143812885006007</v>
      </c>
      <c r="AA70" s="18">
        <f>Calculations!$C$11*Calculations!$C80*$X70*SPD!$C$10</f>
        <v>1824791703434.7234</v>
      </c>
      <c r="AB70" s="2"/>
      <c r="AC70" s="15">
        <v>590</v>
      </c>
      <c r="AD70" s="2">
        <f>Calculations!$C$11*Calculations!$C80</f>
        <v>0.6143812885006007</v>
      </c>
      <c r="AE70" s="2">
        <f>HLOOKUP($O$4,Calculations!$I$21:$AG$118,ROW()-10,FALSE)*5</f>
        <v>4.5695E-2</v>
      </c>
      <c r="AF70" s="2">
        <f t="shared" si="2"/>
        <v>5.6154258307450494E-3</v>
      </c>
      <c r="AH70" s="2">
        <f t="shared" si="1"/>
        <v>590</v>
      </c>
      <c r="AI70" s="217">
        <f>INPUT!B60</f>
        <v>0</v>
      </c>
      <c r="AJ70" s="72" t="str">
        <f t="shared" si="5"/>
        <v/>
      </c>
    </row>
    <row r="71" spans="20:36">
      <c r="T71" s="15"/>
      <c r="U71" s="15">
        <v>595</v>
      </c>
      <c r="V71" s="3">
        <f t="shared" si="4"/>
        <v>0</v>
      </c>
      <c r="W71" s="2"/>
      <c r="X71" s="15">
        <v>595</v>
      </c>
      <c r="Y71" s="3">
        <f>Calculations!$C$11*Calculations!$C81*Calculations!$M81*SPD!$C$9</f>
        <v>2.9376733220887457</v>
      </c>
      <c r="Z71" s="3">
        <f>Calculations!$C$11*Calculations!$C81</f>
        <v>0.61895560456540666</v>
      </c>
      <c r="AA71" s="18">
        <f>Calculations!$C$11*Calculations!$C81*$X71*SPD!$C$10</f>
        <v>1853957487074.6133</v>
      </c>
      <c r="AB71" s="2"/>
      <c r="AC71" s="15">
        <v>595</v>
      </c>
      <c r="AD71" s="2">
        <f>Calculations!$C$11*Calculations!$C81</f>
        <v>0.61895560456540666</v>
      </c>
      <c r="AE71" s="2">
        <f>HLOOKUP($O$4,Calculations!$I$21:$AG$118,ROW()-10,FALSE)*5</f>
        <v>2.9810000000000003E-2</v>
      </c>
      <c r="AF71" s="2">
        <f t="shared" si="2"/>
        <v>3.6906045184979157E-3</v>
      </c>
      <c r="AH71" s="2">
        <f t="shared" si="1"/>
        <v>595</v>
      </c>
      <c r="AI71" s="217">
        <f>INPUT!B61</f>
        <v>0</v>
      </c>
      <c r="AJ71" s="72" t="str">
        <f t="shared" si="5"/>
        <v/>
      </c>
    </row>
    <row r="72" spans="20:36">
      <c r="T72" s="15"/>
      <c r="U72" s="15">
        <v>600</v>
      </c>
      <c r="V72" s="3">
        <f t="shared" si="4"/>
        <v>0</v>
      </c>
      <c r="W72" s="2"/>
      <c r="X72" s="15">
        <v>600</v>
      </c>
      <c r="Y72" s="3">
        <f>Calculations!$C$11*Calculations!$C82*Calculations!$M82*SPD!$C$9</f>
        <v>2.6872516945777396</v>
      </c>
      <c r="Z72" s="3">
        <f>Calculations!$C$11*Calculations!$C82</f>
        <v>0.62352992063021251</v>
      </c>
      <c r="AA72" s="18">
        <f>Calculations!$C$11*Calculations!$C82*$X72*SPD!$C$10</f>
        <v>1883353547137.5295</v>
      </c>
      <c r="AB72" s="2"/>
      <c r="AC72" s="15">
        <v>600</v>
      </c>
      <c r="AD72" s="2">
        <f>Calculations!$C$11*Calculations!$C82</f>
        <v>0.62352992063021251</v>
      </c>
      <c r="AE72" s="2">
        <f>HLOOKUP($O$4,Calculations!$I$21:$AG$118,ROW()-10,FALSE)*5</f>
        <v>1.9425000000000001E-2</v>
      </c>
      <c r="AF72" s="2">
        <f t="shared" si="2"/>
        <v>2.4226705447261167E-3</v>
      </c>
      <c r="AH72" s="2">
        <f t="shared" si="1"/>
        <v>600</v>
      </c>
      <c r="AI72" s="217">
        <f>INPUT!B62</f>
        <v>0</v>
      </c>
      <c r="AJ72" s="72" t="str">
        <f t="shared" si="5"/>
        <v/>
      </c>
    </row>
    <row r="73" spans="20:36">
      <c r="T73" s="15"/>
      <c r="U73" s="15">
        <v>605</v>
      </c>
      <c r="V73" s="3">
        <f t="shared" si="4"/>
        <v>0</v>
      </c>
      <c r="W73" s="2"/>
      <c r="X73" s="15">
        <v>605</v>
      </c>
      <c r="Y73" s="3">
        <f>Calculations!$C$11*Calculations!$C83*Calculations!$M83*SPD!$C$9</f>
        <v>2.408381663497722</v>
      </c>
      <c r="Z73" s="3">
        <f>Calculations!$C$11*Calculations!$C83</f>
        <v>0.62211945455298323</v>
      </c>
      <c r="AA73" s="18">
        <f>Calculations!$C$11*Calculations!$C83*$X73*SPD!$C$10</f>
        <v>1894752387012.6816</v>
      </c>
      <c r="AB73" s="2"/>
      <c r="AC73" s="15">
        <v>605</v>
      </c>
      <c r="AD73" s="2">
        <f>Calculations!$C$11*Calculations!$C83</f>
        <v>0.62211945455298323</v>
      </c>
      <c r="AE73" s="2">
        <f>HLOOKUP($O$4,Calculations!$I$21:$AG$118,ROW()-10,FALSE)*5</f>
        <v>1.2665000000000001E-2</v>
      </c>
      <c r="AF73" s="2">
        <f t="shared" si="2"/>
        <v>1.5759956339199022E-3</v>
      </c>
      <c r="AH73" s="2">
        <f t="shared" si="1"/>
        <v>605</v>
      </c>
      <c r="AI73" s="217">
        <f>INPUT!B63</f>
        <v>0</v>
      </c>
      <c r="AJ73" s="72" t="str">
        <f t="shared" si="5"/>
        <v/>
      </c>
    </row>
    <row r="74" spans="20:36">
      <c r="T74" s="15"/>
      <c r="U74" s="15">
        <v>610</v>
      </c>
      <c r="V74" s="3">
        <f t="shared" si="4"/>
        <v>0</v>
      </c>
      <c r="W74" s="2"/>
      <c r="X74" s="15">
        <v>610</v>
      </c>
      <c r="Y74" s="3">
        <f>Calculations!$C$11*Calculations!$C84*Calculations!$M84*SPD!$C$9</f>
        <v>2.1324467352636978</v>
      </c>
      <c r="Z74" s="3">
        <f>Calculations!$C$11*Calculations!$C84</f>
        <v>0.62070968123905323</v>
      </c>
      <c r="AA74" s="18">
        <f>Calculations!$C$11*Calculations!$C84*$X74*SPD!$C$10</f>
        <v>1906082349720.5642</v>
      </c>
      <c r="AB74" s="2"/>
      <c r="AC74" s="15">
        <v>610</v>
      </c>
      <c r="AD74" s="2">
        <f>Calculations!$C$11*Calculations!$C84</f>
        <v>0.62070968123905323</v>
      </c>
      <c r="AE74" s="2">
        <f>HLOOKUP($O$4,Calculations!$I$21:$AG$118,ROW()-10,FALSE)*5</f>
        <v>8.2749999999999994E-3</v>
      </c>
      <c r="AF74" s="2">
        <f t="shared" si="2"/>
        <v>1.0273834250936931E-3</v>
      </c>
      <c r="AH74" s="2">
        <f t="shared" si="1"/>
        <v>610</v>
      </c>
      <c r="AI74" s="217">
        <f>INPUT!B64</f>
        <v>0</v>
      </c>
      <c r="AJ74" s="72" t="str">
        <f t="shared" si="5"/>
        <v/>
      </c>
    </row>
    <row r="75" spans="20:36">
      <c r="T75" s="15"/>
      <c r="U75" s="15">
        <v>615</v>
      </c>
      <c r="V75" s="3">
        <f t="shared" si="4"/>
        <v>0</v>
      </c>
      <c r="W75" s="2"/>
      <c r="X75" s="15">
        <v>615</v>
      </c>
      <c r="Y75" s="3">
        <f>Calculations!$C$11*Calculations!$C85*Calculations!$M85*SPD!$C$9</f>
        <v>1.8506121727774913</v>
      </c>
      <c r="Z75" s="3">
        <f>Calculations!$C$11*Calculations!$C85</f>
        <v>0.61412704436978394</v>
      </c>
      <c r="AA75" s="18">
        <f>Calculations!$C$11*Calculations!$C85*$X75*SPD!$C$10</f>
        <v>1901326250541.198</v>
      </c>
      <c r="AB75" s="2"/>
      <c r="AC75" s="15">
        <v>615</v>
      </c>
      <c r="AD75" s="2">
        <f>Calculations!$C$11*Calculations!$C85</f>
        <v>0.61412704436978394</v>
      </c>
      <c r="AE75" s="2">
        <f>HLOOKUP($O$4,Calculations!$I$21:$AG$118,ROW()-10,FALSE)*5</f>
        <v>5.4199999999999995E-3</v>
      </c>
      <c r="AF75" s="2">
        <f t="shared" si="2"/>
        <v>6.657842892315043E-4</v>
      </c>
      <c r="AH75" s="2">
        <f t="shared" si="1"/>
        <v>615</v>
      </c>
      <c r="AI75" s="217">
        <f>INPUT!B65</f>
        <v>0</v>
      </c>
      <c r="AJ75" s="72" t="str">
        <f t="shared" si="5"/>
        <v/>
      </c>
    </row>
    <row r="76" spans="20:36">
      <c r="T76" s="15"/>
      <c r="U76" s="15">
        <v>620</v>
      </c>
      <c r="V76" s="3">
        <f t="shared" ref="V76:V108" si="6">VLOOKUP($U76,$AH$12:$AJ$496,IF($D$6="1nm spectral data",3,2),0)</f>
        <v>0</v>
      </c>
      <c r="W76" s="2"/>
      <c r="X76" s="15">
        <v>620</v>
      </c>
      <c r="Y76" s="3">
        <f>Calculations!$C$11*Calculations!$C86*Calculations!$M86*SPD!$C$9</f>
        <v>1.5809738662685027</v>
      </c>
      <c r="Z76" s="3">
        <f>Calculations!$C$11*Calculations!$C86</f>
        <v>0.60754440750051453</v>
      </c>
      <c r="AA76" s="18">
        <f>Calculations!$C$11*Calculations!$C86*$X76*SPD!$C$10</f>
        <v>1896238773719.6072</v>
      </c>
      <c r="AB76" s="2"/>
      <c r="AC76" s="15">
        <v>620</v>
      </c>
      <c r="AD76" s="2">
        <f>Calculations!$C$11*Calculations!$C86</f>
        <v>0.60754440750051453</v>
      </c>
      <c r="AE76" s="2">
        <f>HLOOKUP($O$4,Calculations!$I$21:$AG$118,ROW()-10,FALSE)*5</f>
        <v>3.5599999999999998E-3</v>
      </c>
      <c r="AF76" s="2">
        <f t="shared" si="2"/>
        <v>4.3261747559277918E-4</v>
      </c>
      <c r="AH76" s="2">
        <f t="shared" ref="AH76:AH139" si="7">IF(ROW()&gt;IF($D$6="1nm spectral data",496,108),"",IF($D$6="1nm spectral data",298,300)+IF($D$6="1nm spectral data",1,5)*(ROW()-ROW($AH$12)))</f>
        <v>620</v>
      </c>
      <c r="AI76" s="217">
        <f>INPUT!B66</f>
        <v>0</v>
      </c>
      <c r="AJ76" s="72" t="str">
        <f t="shared" si="5"/>
        <v/>
      </c>
    </row>
    <row r="77" spans="20:36">
      <c r="T77" s="15"/>
      <c r="U77" s="15">
        <v>625</v>
      </c>
      <c r="V77" s="3">
        <f t="shared" si="6"/>
        <v>0</v>
      </c>
      <c r="W77" s="2"/>
      <c r="X77" s="15">
        <v>625</v>
      </c>
      <c r="Y77" s="3">
        <f>Calculations!$C$11*Calculations!$C87*Calculations!$M87*SPD!$C$9</f>
        <v>1.298509696496168</v>
      </c>
      <c r="Z77" s="3">
        <f>Calculations!$C$11*Calculations!$C87</f>
        <v>0.59226828398922671</v>
      </c>
      <c r="AA77" s="18">
        <f>Calculations!$C$11*Calculations!$C87*$X77*SPD!$C$10</f>
        <v>1863467401152.6094</v>
      </c>
      <c r="AB77" s="2"/>
      <c r="AC77" s="15">
        <v>625</v>
      </c>
      <c r="AD77" s="2">
        <f>Calculations!$C$11*Calculations!$C87</f>
        <v>0.59226828398922671</v>
      </c>
      <c r="AE77" s="2">
        <f>HLOOKUP($O$4,Calculations!$I$21:$AG$118,ROW()-10,FALSE)*5</f>
        <v>2.3500000000000001E-3</v>
      </c>
      <c r="AF77" s="2">
        <f t="shared" ref="AF77:AF108" si="8">AD77*AE77/MAX(AE$12:AE$108)</f>
        <v>2.783956034088979E-4</v>
      </c>
      <c r="AH77" s="2">
        <f t="shared" si="7"/>
        <v>625</v>
      </c>
      <c r="AI77" s="217">
        <f>INPUT!B67</f>
        <v>0</v>
      </c>
      <c r="AJ77" s="72" t="str">
        <f t="shared" si="5"/>
        <v/>
      </c>
    </row>
    <row r="78" spans="20:36">
      <c r="T78" s="15"/>
      <c r="U78" s="15">
        <v>630</v>
      </c>
      <c r="V78" s="3">
        <f t="shared" si="6"/>
        <v>0</v>
      </c>
      <c r="W78" s="2"/>
      <c r="X78" s="15">
        <v>630</v>
      </c>
      <c r="Y78" s="3">
        <f>Calculations!$C$11*Calculations!$C88*Calculations!$M88*SPD!$C$9</f>
        <v>1.0443305813433117</v>
      </c>
      <c r="Z78" s="3">
        <f>Calculations!$C$11*Calculations!$C88</f>
        <v>0.57699285324123806</v>
      </c>
      <c r="AA78" s="18">
        <f>Calculations!$C$11*Calculations!$C88*$X78*SPD!$C$10</f>
        <v>1829929207748.1863</v>
      </c>
      <c r="AB78" s="2"/>
      <c r="AC78" s="15">
        <v>630</v>
      </c>
      <c r="AD78" s="2">
        <f>Calculations!$C$11*Calculations!$C88</f>
        <v>0.57699285324123806</v>
      </c>
      <c r="AE78" s="2">
        <f>HLOOKUP($O$4,Calculations!$I$21:$AG$118,ROW()-10,FALSE)*5</f>
        <v>1.56E-3</v>
      </c>
      <c r="AF78" s="2">
        <f t="shared" si="8"/>
        <v>1.8004085454184773E-4</v>
      </c>
      <c r="AH78" s="2">
        <f t="shared" si="7"/>
        <v>630</v>
      </c>
      <c r="AI78" s="217">
        <f>INPUT!B68</f>
        <v>0</v>
      </c>
      <c r="AJ78" s="72" t="str">
        <f t="shared" ref="AJ78:AJ108" si="9">IF(AND($D$6="1nm spectral data",$AH78&lt;&gt;""),IF($AH78/5=INT($AH78/5),SUM($AI76:$AI80),""),"")</f>
        <v/>
      </c>
    </row>
    <row r="79" spans="20:36">
      <c r="T79" s="15"/>
      <c r="U79" s="15">
        <v>635</v>
      </c>
      <c r="V79" s="3">
        <f t="shared" si="6"/>
        <v>0</v>
      </c>
      <c r="W79" s="2"/>
      <c r="X79" s="15">
        <v>635</v>
      </c>
      <c r="Y79" s="3">
        <f>Calculations!$C$11*Calculations!$C89*Calculations!$M89*SPD!$C$9</f>
        <v>0.85727674109467711</v>
      </c>
      <c r="Z79" s="3">
        <f>Calculations!$C$11*Calculations!$C89</f>
        <v>0.57841509629455401</v>
      </c>
      <c r="AA79" s="18">
        <f>Calculations!$C$11*Calculations!$C89*$X79*SPD!$C$10</f>
        <v>1848998889023.4749</v>
      </c>
      <c r="AB79" s="2"/>
      <c r="AC79" s="15">
        <v>635</v>
      </c>
      <c r="AD79" s="2">
        <f>Calculations!$C$11*Calculations!$C89</f>
        <v>0.57841509629455401</v>
      </c>
      <c r="AE79" s="2">
        <f>HLOOKUP($O$4,Calculations!$I$21:$AG$118,ROW()-10,FALSE)*5</f>
        <v>1.0399999999999999E-3</v>
      </c>
      <c r="AF79" s="2">
        <f t="shared" si="8"/>
        <v>1.2032309427726061E-4</v>
      </c>
      <c r="AH79" s="2">
        <f t="shared" si="7"/>
        <v>635</v>
      </c>
      <c r="AI79" s="217">
        <f>INPUT!B69</f>
        <v>0</v>
      </c>
      <c r="AJ79" s="72" t="str">
        <f t="shared" si="9"/>
        <v/>
      </c>
    </row>
    <row r="80" spans="20:36">
      <c r="T80" s="15"/>
      <c r="U80" s="15">
        <v>640</v>
      </c>
      <c r="V80" s="3">
        <f t="shared" si="6"/>
        <v>0</v>
      </c>
      <c r="W80" s="2"/>
      <c r="X80" s="15">
        <v>640</v>
      </c>
      <c r="Y80" s="3">
        <f>Calculations!$C$11*Calculations!$C90*Calculations!$M90*SPD!$C$9</f>
        <v>0.69305215042203405</v>
      </c>
      <c r="Z80" s="3">
        <f>Calculations!$C$11*Calculations!$C90</f>
        <v>0.5798373393478703</v>
      </c>
      <c r="AA80" s="18">
        <f>Calculations!$C$11*Calculations!$C90*$X80*SPD!$C$10</f>
        <v>1868140167678.209</v>
      </c>
      <c r="AB80" s="2"/>
      <c r="AC80" s="15">
        <v>640</v>
      </c>
      <c r="AD80" s="2">
        <f>Calculations!$C$11*Calculations!$C90</f>
        <v>0.5798373393478703</v>
      </c>
      <c r="AE80" s="2">
        <f>HLOOKUP($O$4,Calculations!$I$21:$AG$118,ROW()-10,FALSE)*5</f>
        <v>6.9999999999999988E-4</v>
      </c>
      <c r="AF80" s="2">
        <f t="shared" si="8"/>
        <v>8.1185833207021772E-5</v>
      </c>
      <c r="AH80" s="2">
        <f t="shared" si="7"/>
        <v>640</v>
      </c>
      <c r="AI80" s="217">
        <f>INPUT!B70</f>
        <v>0</v>
      </c>
      <c r="AJ80" s="72" t="str">
        <f t="shared" si="9"/>
        <v/>
      </c>
    </row>
    <row r="81" spans="20:36">
      <c r="T81" s="15"/>
      <c r="U81" s="15">
        <v>645</v>
      </c>
      <c r="V81" s="3">
        <f t="shared" si="6"/>
        <v>0</v>
      </c>
      <c r="W81" s="2"/>
      <c r="X81" s="15">
        <v>645</v>
      </c>
      <c r="Y81" s="3">
        <f>Calculations!$C$11*Calculations!$C91*Calculations!$M91*SPD!$C$9</f>
        <v>0.53530618185515055</v>
      </c>
      <c r="Z81" s="3">
        <f>Calculations!$C$11*Calculations!$C91</f>
        <v>0.56711681964743632</v>
      </c>
      <c r="AA81" s="18">
        <f>Calculations!$C$11*Calculations!$C91*$X81*SPD!$C$10</f>
        <v>1841431415686.0144</v>
      </c>
      <c r="AB81" s="2"/>
      <c r="AC81" s="15">
        <v>645</v>
      </c>
      <c r="AD81" s="2">
        <f>Calculations!$C$11*Calculations!$C91</f>
        <v>0.56711681964743632</v>
      </c>
      <c r="AE81" s="2">
        <f>HLOOKUP($O$4,Calculations!$I$21:$AG$118,ROW()-10,FALSE)*5</f>
        <v>4.6999999999999999E-4</v>
      </c>
      <c r="AF81" s="2">
        <f t="shared" si="8"/>
        <v>5.3314632397893185E-5</v>
      </c>
      <c r="AH81" s="2">
        <f t="shared" si="7"/>
        <v>645</v>
      </c>
      <c r="AI81" s="217">
        <f>INPUT!B71</f>
        <v>0</v>
      </c>
      <c r="AJ81" s="72" t="str">
        <f t="shared" si="9"/>
        <v/>
      </c>
    </row>
    <row r="82" spans="20:36">
      <c r="T82" s="15"/>
      <c r="U82" s="15">
        <v>650</v>
      </c>
      <c r="V82" s="3">
        <f t="shared" si="6"/>
        <v>0</v>
      </c>
      <c r="W82" s="2"/>
      <c r="X82" s="15">
        <v>650</v>
      </c>
      <c r="Y82" s="3">
        <f>Calculations!$C$11*Calculations!$C92*Calculations!$M92*SPD!$C$9</f>
        <v>0.40515927811968583</v>
      </c>
      <c r="Z82" s="3">
        <f>Calculations!$C$11*Calculations!$C92</f>
        <v>0.55439629994700235</v>
      </c>
      <c r="AA82" s="18">
        <f>Calculations!$C$11*Calculations!$C92*$X82*SPD!$C$10</f>
        <v>1814082297848.0493</v>
      </c>
      <c r="AB82" s="2"/>
      <c r="AC82" s="15">
        <v>650</v>
      </c>
      <c r="AD82" s="2">
        <f>Calculations!$C$11*Calculations!$C92</f>
        <v>0.55439629994700235</v>
      </c>
      <c r="AE82" s="2">
        <f>HLOOKUP($O$4,Calculations!$I$21:$AG$118,ROW()-10,FALSE)*5</f>
        <v>3.1999999999999997E-4</v>
      </c>
      <c r="AF82" s="2">
        <f t="shared" si="8"/>
        <v>3.5485124619817846E-5</v>
      </c>
      <c r="AH82" s="2">
        <f t="shared" si="7"/>
        <v>650</v>
      </c>
      <c r="AI82" s="217">
        <f>INPUT!B72</f>
        <v>0</v>
      </c>
      <c r="AJ82" s="72" t="str">
        <f t="shared" si="9"/>
        <v/>
      </c>
    </row>
    <row r="83" spans="20:36">
      <c r="T83" s="15"/>
      <c r="U83" s="15">
        <v>655</v>
      </c>
      <c r="V83" s="3">
        <f t="shared" si="6"/>
        <v>0</v>
      </c>
      <c r="W83" s="2"/>
      <c r="X83" s="15">
        <v>655</v>
      </c>
      <c r="Y83" s="3">
        <f>Calculations!$C$11*Calculations!$C93*Calculations!$M93*SPD!$C$9</f>
        <v>0.30934382658382148</v>
      </c>
      <c r="Z83" s="3">
        <f>Calculations!$C$11*Calculations!$C93</f>
        <v>0.55504680468497791</v>
      </c>
      <c r="AA83" s="18">
        <f>Calculations!$C$11*Calculations!$C93*$X83*SPD!$C$10</f>
        <v>1830181716674.5718</v>
      </c>
      <c r="AB83" s="2"/>
      <c r="AC83" s="15">
        <v>655</v>
      </c>
      <c r="AD83" s="2">
        <f>Calculations!$C$11*Calculations!$C93</f>
        <v>0.55504680468497791</v>
      </c>
      <c r="AE83" s="2">
        <f>HLOOKUP($O$4,Calculations!$I$21:$AG$118,ROW()-10,FALSE)*5</f>
        <v>2.1999999999999998E-4</v>
      </c>
      <c r="AF83" s="2">
        <f t="shared" si="8"/>
        <v>2.4424648418871427E-5</v>
      </c>
      <c r="AH83" s="2">
        <f t="shared" si="7"/>
        <v>655</v>
      </c>
      <c r="AI83" s="217">
        <f>INPUT!B73</f>
        <v>0</v>
      </c>
      <c r="AJ83" s="72" t="str">
        <f t="shared" si="9"/>
        <v/>
      </c>
    </row>
    <row r="84" spans="20:36">
      <c r="T84" s="15"/>
      <c r="U84" s="15">
        <v>660</v>
      </c>
      <c r="V84" s="3">
        <f t="shared" si="6"/>
        <v>0</v>
      </c>
      <c r="W84" s="2"/>
      <c r="X84" s="15">
        <v>660</v>
      </c>
      <c r="Y84" s="3">
        <f>Calculations!$C$11*Calculations!$C94*Calculations!$M94*SPD!$C$9</f>
        <v>0.23152069468763253</v>
      </c>
      <c r="Z84" s="3">
        <f>Calculations!$C$11*Calculations!$C94</f>
        <v>0.55569730942295359</v>
      </c>
      <c r="AA84" s="18">
        <f>Calculations!$C$11*Calculations!$C94*$X84*SPD!$C$10</f>
        <v>1846313882670.7483</v>
      </c>
      <c r="AB84" s="2"/>
      <c r="AC84" s="15">
        <v>660</v>
      </c>
      <c r="AD84" s="2">
        <f>Calculations!$C$11*Calculations!$C94</f>
        <v>0.55569730942295359</v>
      </c>
      <c r="AE84" s="2">
        <f>HLOOKUP($O$4,Calculations!$I$21:$AG$118,ROW()-10,FALSE)*5</f>
        <v>1.5000000000000001E-4</v>
      </c>
      <c r="AF84" s="2">
        <f t="shared" si="8"/>
        <v>1.6672686587466882E-5</v>
      </c>
      <c r="AH84" s="2">
        <f t="shared" si="7"/>
        <v>660</v>
      </c>
      <c r="AI84" s="217">
        <f>INPUT!B74</f>
        <v>0</v>
      </c>
      <c r="AJ84" s="72" t="str">
        <f t="shared" si="9"/>
        <v/>
      </c>
    </row>
    <row r="85" spans="20:36">
      <c r="T85" s="15"/>
      <c r="U85" s="15">
        <v>665</v>
      </c>
      <c r="V85" s="3">
        <f t="shared" si="6"/>
        <v>0</v>
      </c>
      <c r="W85" s="2"/>
      <c r="X85" s="15">
        <v>665</v>
      </c>
      <c r="Y85" s="3">
        <f>Calculations!$C$11*Calculations!$C95*Calculations!$M95*SPD!$C$9</f>
        <v>0.17137587350491285</v>
      </c>
      <c r="Z85" s="3">
        <f>Calculations!$C$11*Calculations!$C95</f>
        <v>0.56284385561779482</v>
      </c>
      <c r="AA85" s="18">
        <f>Calculations!$C$11*Calculations!$C95*$X85*SPD!$C$10</f>
        <v>1884225514637.8994</v>
      </c>
      <c r="AB85" s="2"/>
      <c r="AC85" s="15">
        <v>665</v>
      </c>
      <c r="AD85" s="2">
        <f>Calculations!$C$11*Calculations!$C95</f>
        <v>0.56284385561779482</v>
      </c>
      <c r="AE85" s="2">
        <f>HLOOKUP($O$4,Calculations!$I$21:$AG$118,ROW()-10,FALSE)*5</f>
        <v>1.0499999999999999E-4</v>
      </c>
      <c r="AF85" s="2">
        <f t="shared" si="8"/>
        <v>1.1820973991216761E-5</v>
      </c>
      <c r="AH85" s="2">
        <f t="shared" si="7"/>
        <v>665</v>
      </c>
      <c r="AI85" s="217">
        <f>INPUT!B75</f>
        <v>0</v>
      </c>
      <c r="AJ85" s="72" t="str">
        <f t="shared" si="9"/>
        <v/>
      </c>
    </row>
    <row r="86" spans="20:36">
      <c r="T86" s="15"/>
      <c r="U86" s="15">
        <v>670</v>
      </c>
      <c r="V86" s="3">
        <f t="shared" si="6"/>
        <v>0</v>
      </c>
      <c r="W86" s="2"/>
      <c r="X86" s="15">
        <v>670</v>
      </c>
      <c r="Y86" s="3">
        <f>Calculations!$C$11*Calculations!$C96*Calculations!$M96*SPD!$C$9</f>
        <v>0.1245773845323532</v>
      </c>
      <c r="Z86" s="3">
        <f>Calculations!$C$11*Calculations!$C96</f>
        <v>0.56999040181263616</v>
      </c>
      <c r="AA86" s="18">
        <f>Calculations!$C$11*Calculations!$C96*$X86*SPD!$C$10</f>
        <v>1922496912102.5439</v>
      </c>
      <c r="AB86" s="2"/>
      <c r="AC86" s="15">
        <v>670</v>
      </c>
      <c r="AD86" s="2">
        <f>Calculations!$C$11*Calculations!$C96</f>
        <v>0.56999040181263616</v>
      </c>
      <c r="AE86" s="2">
        <f>HLOOKUP($O$4,Calculations!$I$21:$AG$118,ROW()-10,FALSE)*5</f>
        <v>6.9999999999999994E-5</v>
      </c>
      <c r="AF86" s="2">
        <f t="shared" si="8"/>
        <v>7.980711580804471E-6</v>
      </c>
      <c r="AH86" s="2">
        <f t="shared" si="7"/>
        <v>670</v>
      </c>
      <c r="AI86" s="217">
        <f>INPUT!B76</f>
        <v>0</v>
      </c>
      <c r="AJ86" s="72" t="str">
        <f t="shared" si="9"/>
        <v/>
      </c>
    </row>
    <row r="87" spans="20:36">
      <c r="T87" s="15"/>
      <c r="U87" s="15">
        <v>675</v>
      </c>
      <c r="V87" s="3">
        <f t="shared" si="6"/>
        <v>0</v>
      </c>
      <c r="W87" s="2"/>
      <c r="X87" s="15">
        <v>675</v>
      </c>
      <c r="Y87" s="3">
        <f>Calculations!$C$11*Calculations!$C97*Calculations!$M97*SPD!$C$9</f>
        <v>8.8126661511857898E-2</v>
      </c>
      <c r="Z87" s="3">
        <f>Calculations!$C$11*Calculations!$C97</f>
        <v>0.5561573042536414</v>
      </c>
      <c r="AA87" s="18">
        <f>Calculations!$C$11*Calculations!$C97*$X87*SPD!$C$10</f>
        <v>1889838637587.9277</v>
      </c>
      <c r="AB87" s="2"/>
      <c r="AC87" s="15">
        <v>675</v>
      </c>
      <c r="AD87" s="2">
        <f>Calculations!$C$11*Calculations!$C97</f>
        <v>0.5561573042536414</v>
      </c>
      <c r="AE87" s="2">
        <f>HLOOKUP($O$4,Calculations!$I$21:$AG$118,ROW()-10,FALSE)*5</f>
        <v>5.0000000000000002E-5</v>
      </c>
      <c r="AF87" s="2">
        <f t="shared" si="8"/>
        <v>5.5621626317753828E-6</v>
      </c>
      <c r="AH87" s="2">
        <f t="shared" si="7"/>
        <v>675</v>
      </c>
      <c r="AI87" s="217">
        <f>INPUT!B77</f>
        <v>0</v>
      </c>
      <c r="AJ87" s="72" t="str">
        <f t="shared" si="9"/>
        <v/>
      </c>
    </row>
    <row r="88" spans="20:36">
      <c r="T88" s="15"/>
      <c r="U88" s="15">
        <v>680</v>
      </c>
      <c r="V88" s="3">
        <f t="shared" si="6"/>
        <v>0</v>
      </c>
      <c r="W88" s="2"/>
      <c r="X88" s="15">
        <v>680</v>
      </c>
      <c r="Y88" s="3">
        <f>Calculations!$C$11*Calculations!$C98*Calculations!$M98*SPD!$C$9</f>
        <v>6.2969406338013553E-2</v>
      </c>
      <c r="Z88" s="3">
        <f>Calculations!$C$11*Calculations!$C98</f>
        <v>0.54232420669464632</v>
      </c>
      <c r="AA88" s="18">
        <f>Calculations!$C$11*Calculations!$C98*$X88*SPD!$C$10</f>
        <v>1856483988756.3333</v>
      </c>
      <c r="AB88" s="2"/>
      <c r="AC88" s="15">
        <v>680</v>
      </c>
      <c r="AD88" s="2">
        <f>Calculations!$C$11*Calculations!$C98</f>
        <v>0.54232420669464632</v>
      </c>
      <c r="AE88" s="2">
        <f>HLOOKUP($O$4,Calculations!$I$21:$AG$118,ROW()-10,FALSE)*5</f>
        <v>3.4999999999999997E-5</v>
      </c>
      <c r="AF88" s="2">
        <f t="shared" si="8"/>
        <v>3.7966718940832971E-6</v>
      </c>
      <c r="AH88" s="2">
        <f t="shared" si="7"/>
        <v>680</v>
      </c>
      <c r="AI88" s="217">
        <f>INPUT!B78</f>
        <v>0</v>
      </c>
      <c r="AJ88" s="72" t="str">
        <f t="shared" si="9"/>
        <v/>
      </c>
    </row>
    <row r="89" spans="20:36">
      <c r="T89" s="15"/>
      <c r="U89" s="15">
        <v>685</v>
      </c>
      <c r="V89" s="3">
        <f t="shared" si="6"/>
        <v>0</v>
      </c>
      <c r="W89" s="2"/>
      <c r="X89" s="15">
        <v>685</v>
      </c>
      <c r="Y89" s="3">
        <f>Calculations!$C$11*Calculations!$C99*Calculations!$M99*SPD!$C$9</f>
        <v>4.173787945641242E-2</v>
      </c>
      <c r="Z89" s="3">
        <f>Calculations!$C$11*Calculations!$C99</f>
        <v>0.51266354603817765</v>
      </c>
      <c r="AA89" s="18">
        <f>Calculations!$C$11*Calculations!$C99*$X89*SPD!$C$10</f>
        <v>1767853669465.4888</v>
      </c>
      <c r="AB89" s="2"/>
      <c r="AC89" s="15">
        <v>685</v>
      </c>
      <c r="AD89" s="2">
        <f>Calculations!$C$11*Calculations!$C99</f>
        <v>0.51266354603817765</v>
      </c>
      <c r="AE89" s="2">
        <f>HLOOKUP($O$4,Calculations!$I$21:$AG$118,ROW()-10,FALSE)*5</f>
        <v>2.5000000000000001E-5</v>
      </c>
      <c r="AF89" s="2">
        <f t="shared" si="8"/>
        <v>2.5635894706747799E-6</v>
      </c>
      <c r="AH89" s="2">
        <f t="shared" si="7"/>
        <v>685</v>
      </c>
      <c r="AI89" s="217">
        <f>INPUT!B79</f>
        <v>0</v>
      </c>
      <c r="AJ89" s="72" t="str">
        <f t="shared" si="9"/>
        <v/>
      </c>
    </row>
    <row r="90" spans="20:36">
      <c r="U90" s="15">
        <v>690</v>
      </c>
      <c r="V90" s="3">
        <f t="shared" si="6"/>
        <v>0</v>
      </c>
      <c r="X90" s="15">
        <v>690</v>
      </c>
      <c r="Y90" s="3">
        <f>Calculations!$C$11*Calculations!$C100*Calculations!$M100*SPD!$C$9</f>
        <v>2.7084148918969302E-2</v>
      </c>
      <c r="Z90" s="3">
        <f>Calculations!$C$11*Calculations!$C100</f>
        <v>0.48300357814500811</v>
      </c>
      <c r="AA90" s="18">
        <f>Calculations!$C$11*Calculations!$C100*$X90*SPD!$C$10</f>
        <v>1677732604153.3337</v>
      </c>
      <c r="AC90" s="15">
        <v>690</v>
      </c>
      <c r="AD90" s="2">
        <f>Calculations!$C$11*Calculations!$C100</f>
        <v>0.48300357814500811</v>
      </c>
      <c r="AE90" s="2">
        <f>HLOOKUP($O$4,Calculations!$I$21:$AG$118,ROW()-10,FALSE)*5</f>
        <v>1.5E-5</v>
      </c>
      <c r="AF90" s="2">
        <f t="shared" si="8"/>
        <v>1.4491643458556852E-6</v>
      </c>
      <c r="AH90" s="2">
        <f t="shared" si="7"/>
        <v>690</v>
      </c>
      <c r="AI90" s="217">
        <f>INPUT!B80</f>
        <v>0</v>
      </c>
      <c r="AJ90" s="72" t="str">
        <f t="shared" si="9"/>
        <v/>
      </c>
    </row>
    <row r="91" spans="20:36">
      <c r="U91" s="15">
        <v>695</v>
      </c>
      <c r="V91" s="3">
        <f t="shared" si="6"/>
        <v>0</v>
      </c>
      <c r="X91" s="15">
        <v>695</v>
      </c>
      <c r="Y91" s="3">
        <f>Calculations!$C$11*Calculations!$C101*Calculations!$M101*SPD!$C$9</f>
        <v>1.9135327434901435E-2</v>
      </c>
      <c r="Z91" s="3">
        <f>Calculations!$C$11*Calculations!$C101</f>
        <v>0.48954257092642611</v>
      </c>
      <c r="AA91" s="18">
        <f>Calculations!$C$11*Calculations!$C101*$X91*SPD!$C$10</f>
        <v>1712768134862.416</v>
      </c>
      <c r="AC91" s="15">
        <v>695</v>
      </c>
      <c r="AD91" s="2">
        <f>Calculations!$C$11*Calculations!$C101</f>
        <v>0.48954257092642611</v>
      </c>
      <c r="AE91" s="2">
        <f>HLOOKUP($O$4,Calculations!$I$21:$AG$118,ROW()-10,FALSE)*5</f>
        <v>9.9999999999999991E-6</v>
      </c>
      <c r="AF91" s="2">
        <f t="shared" si="8"/>
        <v>9.7918893588005545E-7</v>
      </c>
      <c r="AH91" s="2">
        <f t="shared" si="7"/>
        <v>695</v>
      </c>
      <c r="AI91" s="217">
        <f>INPUT!B81</f>
        <v>0</v>
      </c>
      <c r="AJ91" s="72" t="str">
        <f t="shared" si="9"/>
        <v/>
      </c>
    </row>
    <row r="92" spans="20:36">
      <c r="U92" s="15">
        <v>700</v>
      </c>
      <c r="V92" s="3">
        <f t="shared" si="6"/>
        <v>0</v>
      </c>
      <c r="X92" s="15">
        <v>700</v>
      </c>
      <c r="Y92" s="3">
        <f>Calculations!$C$11*Calculations!$C102*Calculations!$M102*SPD!$C$9</f>
        <v>1.3898579999065642E-2</v>
      </c>
      <c r="Z92" s="3">
        <f>Calculations!$C$11*Calculations!$C102</f>
        <v>0.49608156370784401</v>
      </c>
      <c r="AA92" s="18">
        <f>Calculations!$C$11*Calculations!$C102*$X92*SPD!$C$10</f>
        <v>1748132846119.272</v>
      </c>
      <c r="AC92" s="15">
        <v>700</v>
      </c>
      <c r="AD92" s="2">
        <f>Calculations!$C$11*Calculations!$C102</f>
        <v>0.49608156370784401</v>
      </c>
      <c r="AE92" s="2">
        <f>HLOOKUP($O$4,Calculations!$I$21:$AG$118,ROW()-10,FALSE)*5</f>
        <v>9.9999999999999991E-6</v>
      </c>
      <c r="AF92" s="2">
        <f t="shared" si="8"/>
        <v>9.922683078563208E-7</v>
      </c>
      <c r="AH92" s="2">
        <f t="shared" si="7"/>
        <v>700</v>
      </c>
      <c r="AI92" s="217">
        <f>INPUT!B82</f>
        <v>0</v>
      </c>
      <c r="AJ92" s="72" t="str">
        <f t="shared" si="9"/>
        <v/>
      </c>
    </row>
    <row r="93" spans="20:36">
      <c r="U93" s="15">
        <v>705</v>
      </c>
      <c r="V93" s="3">
        <f t="shared" si="6"/>
        <v>0</v>
      </c>
      <c r="X93" s="15">
        <v>705</v>
      </c>
      <c r="Y93" s="3">
        <f>Calculations!$C$11*Calculations!$C103*Calculations!$M103*SPD!$C$9</f>
        <v>1.0114020731522115E-2</v>
      </c>
      <c r="Z93" s="3">
        <f>Calculations!$C$11*Calculations!$C103</f>
        <v>0.50557172814397533</v>
      </c>
      <c r="AA93" s="18">
        <f>Calculations!$C$11*Calculations!$C103*$X93*SPD!$C$10</f>
        <v>1794300601035.7725</v>
      </c>
      <c r="AC93" s="15">
        <v>705</v>
      </c>
      <c r="AD93" s="2">
        <f>Calculations!$C$11*Calculations!$C103</f>
        <v>0.50557172814397533</v>
      </c>
      <c r="AE93" s="2">
        <f>HLOOKUP($O$4,Calculations!$I$21:$AG$118,ROW()-10,FALSE)*5</f>
        <v>4.9999999999999996E-6</v>
      </c>
      <c r="AF93" s="2">
        <f t="shared" si="8"/>
        <v>5.0562532442836472E-7</v>
      </c>
      <c r="AH93" s="2">
        <f t="shared" si="7"/>
        <v>705</v>
      </c>
      <c r="AI93" s="217">
        <f>INPUT!B83</f>
        <v>0</v>
      </c>
      <c r="AJ93" s="72" t="str">
        <f t="shared" si="9"/>
        <v/>
      </c>
    </row>
    <row r="94" spans="20:36">
      <c r="U94" s="15">
        <v>710</v>
      </c>
      <c r="V94" s="3">
        <f t="shared" si="6"/>
        <v>0</v>
      </c>
      <c r="X94" s="15">
        <v>710</v>
      </c>
      <c r="Y94" s="3">
        <f>Calculations!$C$11*Calculations!$C104*Calculations!$M104*SPD!$C$9</f>
        <v>7.3558984340961701E-3</v>
      </c>
      <c r="Z94" s="3">
        <f>Calculations!$C$11*Calculations!$C104</f>
        <v>0.5150625853434061</v>
      </c>
      <c r="AA94" s="18">
        <f>Calculations!$C$11*Calculations!$C104*$X94*SPD!$C$10</f>
        <v>1840948578024.8293</v>
      </c>
      <c r="AC94" s="15">
        <v>710</v>
      </c>
      <c r="AD94" s="2">
        <f>Calculations!$C$11*Calculations!$C104</f>
        <v>0.5150625853434061</v>
      </c>
      <c r="AE94" s="2">
        <f>HLOOKUP($O$4,Calculations!$I$21:$AG$118,ROW()-10,FALSE)*5</f>
        <v>4.9999999999999996E-6</v>
      </c>
      <c r="AF94" s="2">
        <f t="shared" si="8"/>
        <v>5.1511718776530923E-7</v>
      </c>
      <c r="AH94" s="2">
        <f t="shared" si="7"/>
        <v>710</v>
      </c>
      <c r="AI94" s="217">
        <f>INPUT!B84</f>
        <v>0</v>
      </c>
      <c r="AJ94" s="72" t="str">
        <f t="shared" si="9"/>
        <v/>
      </c>
    </row>
    <row r="95" spans="20:36">
      <c r="U95" s="15">
        <v>715</v>
      </c>
      <c r="V95" s="3">
        <f t="shared" si="6"/>
        <v>0</v>
      </c>
      <c r="X95" s="15">
        <v>715</v>
      </c>
      <c r="Y95" s="3">
        <f>Calculations!$C$11*Calculations!$C105*Calculations!$M105*SPD!$C$9</f>
        <v>4.7730860102226267E-3</v>
      </c>
      <c r="Z95" s="3">
        <f>Calculations!$C$11*Calculations!$C105</f>
        <v>0.4709162441000691</v>
      </c>
      <c r="AA95" s="18">
        <f>Calculations!$C$11*Calculations!$C105*$X95*SPD!$C$10</f>
        <v>1695012943809.2581</v>
      </c>
      <c r="AC95" s="15">
        <v>715</v>
      </c>
      <c r="AD95" s="2">
        <f>Calculations!$C$11*Calculations!$C105</f>
        <v>0.4709162441000691</v>
      </c>
      <c r="AE95" s="2">
        <f>HLOOKUP($O$4,Calculations!$I$21:$AG$118,ROW()-10,FALSE)*5</f>
        <v>4.9999999999999996E-6</v>
      </c>
      <c r="AF95" s="2">
        <f t="shared" si="8"/>
        <v>4.7096616651371956E-7</v>
      </c>
      <c r="AH95" s="2">
        <f t="shared" si="7"/>
        <v>715</v>
      </c>
      <c r="AI95" s="217">
        <f>INPUT!B85</f>
        <v>0</v>
      </c>
      <c r="AJ95" s="72" t="str">
        <f t="shared" si="9"/>
        <v/>
      </c>
    </row>
    <row r="96" spans="20:36">
      <c r="U96" s="15">
        <v>720</v>
      </c>
      <c r="V96" s="3">
        <f t="shared" si="6"/>
        <v>0</v>
      </c>
      <c r="X96" s="15">
        <v>720</v>
      </c>
      <c r="Y96" s="3">
        <f>Calculations!$C$11*Calculations!$C106*Calculations!$M106*SPD!$C$9</f>
        <v>3.0518427589890009E-3</v>
      </c>
      <c r="Z96" s="3">
        <f>Calculations!$C$11*Calculations!$C106</f>
        <v>0.42676990285673216</v>
      </c>
      <c r="AA96" s="18">
        <f>Calculations!$C$11*Calculations!$C106*$X96*SPD!$C$10</f>
        <v>1546854931120.6609</v>
      </c>
      <c r="AC96" s="15">
        <v>720</v>
      </c>
      <c r="AD96" s="2">
        <f>Calculations!$C$11*Calculations!$C106</f>
        <v>0.42676990285673216</v>
      </c>
      <c r="AE96" s="2">
        <f>HLOOKUP($O$4,Calculations!$I$21:$AG$118,ROW()-10,FALSE)*5</f>
        <v>0</v>
      </c>
      <c r="AF96" s="2">
        <f t="shared" si="8"/>
        <v>0</v>
      </c>
      <c r="AH96" s="2">
        <f t="shared" si="7"/>
        <v>720</v>
      </c>
      <c r="AI96" s="217">
        <f>INPUT!B86</f>
        <v>0</v>
      </c>
      <c r="AJ96" s="72" t="str">
        <f t="shared" si="9"/>
        <v/>
      </c>
    </row>
    <row r="97" spans="21:36">
      <c r="U97" s="15">
        <v>725</v>
      </c>
      <c r="V97" s="3">
        <f t="shared" si="6"/>
        <v>0</v>
      </c>
      <c r="X97" s="15">
        <v>725</v>
      </c>
      <c r="Y97" s="3">
        <f>Calculations!$C$11*Calculations!$C107*Calculations!$M107*SPD!$C$9</f>
        <v>2.3019701512155938E-3</v>
      </c>
      <c r="Z97" s="3">
        <f>Calculations!$C$11*Calculations!$C107</f>
        <v>0.45545584555118634</v>
      </c>
      <c r="AA97" s="18">
        <f>Calculations!$C$11*Calculations!$C107*$X97*SPD!$C$10</f>
        <v>1662293063463.7649</v>
      </c>
      <c r="AC97" s="15">
        <v>725</v>
      </c>
      <c r="AD97" s="2">
        <f>Calculations!$C$11*Calculations!$C107</f>
        <v>0.45545584555118634</v>
      </c>
      <c r="AE97" s="2">
        <f>HLOOKUP($O$4,Calculations!$I$21:$AG$118,ROW()-10,FALSE)*5</f>
        <v>0</v>
      </c>
      <c r="AF97" s="2">
        <f t="shared" si="8"/>
        <v>0</v>
      </c>
      <c r="AH97" s="2">
        <f t="shared" si="7"/>
        <v>725</v>
      </c>
      <c r="AI97" s="217">
        <f>INPUT!B87</f>
        <v>0</v>
      </c>
      <c r="AJ97" s="72" t="str">
        <f t="shared" si="9"/>
        <v/>
      </c>
    </row>
    <row r="98" spans="21:36">
      <c r="U98" s="15">
        <v>730</v>
      </c>
      <c r="V98" s="3">
        <f t="shared" si="6"/>
        <v>0</v>
      </c>
      <c r="X98" s="15">
        <v>730</v>
      </c>
      <c r="Y98" s="3">
        <f>Calculations!$C$11*Calculations!$C108*Calculations!$M108*SPD!$C$9</f>
        <v>1.7194818717528439E-3</v>
      </c>
      <c r="Z98" s="3">
        <f>Calculations!$C$11*Calculations!$C108</f>
        <v>0.48414178824564064</v>
      </c>
      <c r="AA98" s="18">
        <f>Calculations!$C$11*Calculations!$C108*$X98*SPD!$C$10</f>
        <v>1779175279727.0117</v>
      </c>
      <c r="AC98" s="15">
        <v>730</v>
      </c>
      <c r="AD98" s="2">
        <f>Calculations!$C$11*Calculations!$C108</f>
        <v>0.48414178824564064</v>
      </c>
      <c r="AE98" s="2">
        <f>HLOOKUP($O$4,Calculations!$I$21:$AG$118,ROW()-10,FALSE)*5</f>
        <v>0</v>
      </c>
      <c r="AF98" s="2">
        <f t="shared" si="8"/>
        <v>0</v>
      </c>
      <c r="AH98" s="2">
        <f t="shared" si="7"/>
        <v>730</v>
      </c>
      <c r="AI98" s="217">
        <f>INPUT!B88</f>
        <v>0</v>
      </c>
      <c r="AJ98" s="72" t="str">
        <f t="shared" si="9"/>
        <v/>
      </c>
    </row>
    <row r="99" spans="21:36">
      <c r="U99" s="15">
        <v>735</v>
      </c>
      <c r="V99" s="3">
        <f t="shared" si="6"/>
        <v>0</v>
      </c>
      <c r="X99" s="15">
        <v>735</v>
      </c>
      <c r="Y99" s="3">
        <f>Calculations!$C$11*Calculations!$C109*Calculations!$M109*SPD!$C$9</f>
        <v>1.2384828021916208E-3</v>
      </c>
      <c r="Z99" s="3">
        <f>Calculations!$C$11*Calculations!$C109</f>
        <v>0.50215848336867652</v>
      </c>
      <c r="AA99" s="18">
        <f>Calculations!$C$11*Calculations!$C109*$X99*SPD!$C$10</f>
        <v>1858024553022.425</v>
      </c>
      <c r="AC99" s="15">
        <v>735</v>
      </c>
      <c r="AD99" s="2">
        <f>Calculations!$C$11*Calculations!$C109</f>
        <v>0.50215848336867652</v>
      </c>
      <c r="AE99" s="2">
        <f>HLOOKUP($O$4,Calculations!$I$21:$AG$118,ROW()-10,FALSE)*5</f>
        <v>0</v>
      </c>
      <c r="AF99" s="2">
        <f t="shared" si="8"/>
        <v>0</v>
      </c>
      <c r="AH99" s="2">
        <f t="shared" si="7"/>
        <v>735</v>
      </c>
      <c r="AI99" s="217">
        <f>INPUT!B89</f>
        <v>0</v>
      </c>
      <c r="AJ99" s="72" t="str">
        <f t="shared" si="9"/>
        <v/>
      </c>
    </row>
    <row r="100" spans="21:36">
      <c r="U100" s="15">
        <v>740</v>
      </c>
      <c r="V100" s="3">
        <f t="shared" si="6"/>
        <v>0</v>
      </c>
      <c r="X100" s="15">
        <v>740</v>
      </c>
      <c r="Y100" s="3">
        <f>Calculations!$C$11*Calculations!$C110*Calculations!$M110*SPD!$C$9</f>
        <v>8.8535888646348751E-4</v>
      </c>
      <c r="Z100" s="3">
        <f>Calculations!$C$11*Calculations!$C110</f>
        <v>0.52017517849171246</v>
      </c>
      <c r="AA100" s="18">
        <f>Calculations!$C$11*Calculations!$C110*$X100*SPD!$C$10</f>
        <v>1937780807831.3423</v>
      </c>
      <c r="AC100" s="15">
        <v>740</v>
      </c>
      <c r="AD100" s="2">
        <f>Calculations!$C$11*Calculations!$C110</f>
        <v>0.52017517849171246</v>
      </c>
      <c r="AE100" s="2">
        <f>HLOOKUP($O$4,Calculations!$I$21:$AG$118,ROW()-10,FALSE)*5</f>
        <v>0</v>
      </c>
      <c r="AF100" s="2">
        <f t="shared" si="8"/>
        <v>0</v>
      </c>
      <c r="AH100" s="2">
        <f t="shared" si="7"/>
        <v>740</v>
      </c>
      <c r="AI100" s="217">
        <f>INPUT!B90</f>
        <v>0</v>
      </c>
      <c r="AJ100" s="72" t="str">
        <f t="shared" si="9"/>
        <v/>
      </c>
    </row>
    <row r="101" spans="21:36">
      <c r="U101" s="15">
        <v>745</v>
      </c>
      <c r="V101" s="3">
        <f t="shared" si="6"/>
        <v>0</v>
      </c>
      <c r="X101" s="15">
        <v>745</v>
      </c>
      <c r="Y101" s="3">
        <f>Calculations!$C$11*Calculations!$C111*Calculations!$M111*SPD!$C$9</f>
        <v>5.6398171139518806E-4</v>
      </c>
      <c r="Z101" s="3">
        <f>Calculations!$C$11*Calculations!$C111</f>
        <v>0.48036068615845134</v>
      </c>
      <c r="AA101" s="18">
        <f>Calculations!$C$11*Calculations!$C111*$X101*SPD!$C$10</f>
        <v>1801552965692.2913</v>
      </c>
      <c r="AC101" s="15">
        <v>745</v>
      </c>
      <c r="AD101" s="2">
        <f>Calculations!$C$11*Calculations!$C111</f>
        <v>0.48036068615845134</v>
      </c>
      <c r="AE101" s="2">
        <f>HLOOKUP($O$4,Calculations!$I$21:$AG$118,ROW()-10,FALSE)*5</f>
        <v>0</v>
      </c>
      <c r="AF101" s="2">
        <f t="shared" si="8"/>
        <v>0</v>
      </c>
      <c r="AH101" s="2">
        <f t="shared" si="7"/>
        <v>745</v>
      </c>
      <c r="AI101" s="217">
        <f>INPUT!B91</f>
        <v>0</v>
      </c>
      <c r="AJ101" s="72" t="str">
        <f t="shared" si="9"/>
        <v/>
      </c>
    </row>
    <row r="102" spans="21:36">
      <c r="U102" s="15">
        <v>750</v>
      </c>
      <c r="V102" s="3">
        <f t="shared" si="6"/>
        <v>0</v>
      </c>
      <c r="X102" s="15">
        <v>750</v>
      </c>
      <c r="Y102" s="3">
        <f>Calculations!$C$11*Calculations!$C112*Calculations!$M112*SPD!$C$9</f>
        <v>3.6107304649692464E-4</v>
      </c>
      <c r="Z102" s="3">
        <f>Calculations!$C$11*Calculations!$C112</f>
        <v>0.44054688658848962</v>
      </c>
      <c r="AA102" s="18">
        <f>Calculations!$C$11*Calculations!$C112*$X102*SPD!$C$10</f>
        <v>1663323431011.5967</v>
      </c>
      <c r="AC102" s="15">
        <v>750</v>
      </c>
      <c r="AD102" s="2">
        <f>Calculations!$C$11*Calculations!$C112</f>
        <v>0.44054688658848962</v>
      </c>
      <c r="AE102" s="2">
        <f>HLOOKUP($O$4,Calculations!$I$21:$AG$118,ROW()-10,FALSE)*5</f>
        <v>0</v>
      </c>
      <c r="AF102" s="2">
        <f t="shared" si="8"/>
        <v>0</v>
      </c>
      <c r="AH102" s="2">
        <f t="shared" si="7"/>
        <v>750</v>
      </c>
      <c r="AI102" s="217">
        <f>INPUT!B92</f>
        <v>0</v>
      </c>
      <c r="AJ102" s="72" t="str">
        <f t="shared" si="9"/>
        <v/>
      </c>
    </row>
    <row r="103" spans="21:36">
      <c r="U103" s="15">
        <v>755</v>
      </c>
      <c r="V103" s="3">
        <f t="shared" si="6"/>
        <v>0</v>
      </c>
      <c r="X103" s="15">
        <v>755</v>
      </c>
      <c r="Y103" s="3">
        <f>Calculations!$C$11*Calculations!$C113*Calculations!$M113*SPD!$C$9</f>
        <v>2.2070274725336775E-4</v>
      </c>
      <c r="Z103" s="3">
        <f>Calculations!$C$11*Calculations!$C113</f>
        <v>0.38105722379383966</v>
      </c>
      <c r="AA103" s="18">
        <f>Calculations!$C$11*Calculations!$C113*$X103*SPD!$C$10</f>
        <v>1448306421803.8608</v>
      </c>
      <c r="AC103" s="15">
        <v>755</v>
      </c>
      <c r="AD103" s="2">
        <f>Calculations!$C$11*Calculations!$C113</f>
        <v>0.38105722379383966</v>
      </c>
      <c r="AE103" s="2">
        <f>HLOOKUP($O$4,Calculations!$I$21:$AG$118,ROW()-10,FALSE)*5</f>
        <v>0</v>
      </c>
      <c r="AF103" s="2">
        <f t="shared" si="8"/>
        <v>0</v>
      </c>
      <c r="AH103" s="2">
        <f t="shared" si="7"/>
        <v>755</v>
      </c>
      <c r="AI103" s="217">
        <f>INPUT!B93</f>
        <v>0</v>
      </c>
      <c r="AJ103" s="72" t="str">
        <f t="shared" si="9"/>
        <v/>
      </c>
    </row>
    <row r="104" spans="21:36">
      <c r="U104" s="15">
        <v>760</v>
      </c>
      <c r="V104" s="3">
        <f t="shared" si="6"/>
        <v>0</v>
      </c>
      <c r="X104" s="15">
        <v>760</v>
      </c>
      <c r="Y104" s="3">
        <f>Calculations!$C$11*Calculations!$C114*Calculations!$M114*SPD!$C$9</f>
        <v>1.3177896902398818E-4</v>
      </c>
      <c r="Z104" s="3">
        <f>Calculations!$C$11*Calculations!$C114</f>
        <v>0.32156825376248888</v>
      </c>
      <c r="AA104" s="18">
        <f>Calculations!$C$11*Calculations!$C114*$X104*SPD!$C$10</f>
        <v>1230297283826.4075</v>
      </c>
      <c r="AC104" s="15">
        <v>760</v>
      </c>
      <c r="AD104" s="2">
        <f>Calculations!$C$11*Calculations!$C114</f>
        <v>0.32156825376248888</v>
      </c>
      <c r="AE104" s="2">
        <f>HLOOKUP($O$4,Calculations!$I$21:$AG$118,ROW()-10,FALSE)*5</f>
        <v>0</v>
      </c>
      <c r="AF104" s="2">
        <f t="shared" si="8"/>
        <v>0</v>
      </c>
      <c r="AH104" s="2">
        <f t="shared" si="7"/>
        <v>760</v>
      </c>
      <c r="AI104" s="217">
        <f>INPUT!B94</f>
        <v>0</v>
      </c>
      <c r="AJ104" s="72" t="str">
        <f t="shared" si="9"/>
        <v/>
      </c>
    </row>
    <row r="105" spans="21:36">
      <c r="U105" s="15">
        <v>765</v>
      </c>
      <c r="V105" s="3">
        <f t="shared" si="6"/>
        <v>0</v>
      </c>
      <c r="X105" s="15">
        <v>765</v>
      </c>
      <c r="Y105" s="3">
        <f>Calculations!$C$11*Calculations!$C115*Calculations!$M115*SPD!$C$9</f>
        <v>1.135741198769412E-4</v>
      </c>
      <c r="Z105" s="3">
        <f>Calculations!$C$11*Calculations!$C115</f>
        <v>0.39218577343264643</v>
      </c>
      <c r="AA105" s="18">
        <f>Calculations!$C$11*Calculations!$C115*$X105*SPD!$C$10</f>
        <v>1510346440392.9563</v>
      </c>
      <c r="AC105" s="15">
        <v>765</v>
      </c>
      <c r="AD105" s="2">
        <f>Calculations!$C$11*Calculations!$C115</f>
        <v>0.39218577343264643</v>
      </c>
      <c r="AE105" s="2">
        <f>HLOOKUP($O$4,Calculations!$I$21:$AG$118,ROW()-10,FALSE)*5</f>
        <v>0</v>
      </c>
      <c r="AF105" s="2">
        <f t="shared" si="8"/>
        <v>0</v>
      </c>
      <c r="AH105" s="2">
        <f t="shared" si="7"/>
        <v>765</v>
      </c>
      <c r="AI105" s="217">
        <f>INPUT!B95</f>
        <v>0</v>
      </c>
      <c r="AJ105" s="72" t="str">
        <f t="shared" si="9"/>
        <v/>
      </c>
    </row>
    <row r="106" spans="21:36">
      <c r="U106" s="15">
        <v>770</v>
      </c>
      <c r="V106" s="3">
        <f t="shared" si="6"/>
        <v>0</v>
      </c>
      <c r="X106" s="15">
        <v>770</v>
      </c>
      <c r="Y106" s="3">
        <f>Calculations!$C$11*Calculations!$C116*Calculations!$M116*SPD!$C$9</f>
        <v>9.4828609653488751E-5</v>
      </c>
      <c r="Z106" s="3">
        <f>Calculations!$C$11*Calculations!$C116</f>
        <v>0.46280329310280405</v>
      </c>
      <c r="AA106" s="18">
        <f>Calculations!$C$11*Calculations!$C116*$X106*SPD!$C$10</f>
        <v>1793950565527.9854</v>
      </c>
      <c r="AC106" s="15">
        <v>770</v>
      </c>
      <c r="AD106" s="2">
        <f>Calculations!$C$11*Calculations!$C116</f>
        <v>0.46280329310280405</v>
      </c>
      <c r="AE106" s="2">
        <f>HLOOKUP($O$4,Calculations!$I$21:$AG$118,ROW()-10,FALSE)*5</f>
        <v>0</v>
      </c>
      <c r="AF106" s="2">
        <f t="shared" si="8"/>
        <v>0</v>
      </c>
      <c r="AH106" s="2">
        <f t="shared" si="7"/>
        <v>770</v>
      </c>
      <c r="AI106" s="217">
        <f>INPUT!B96</f>
        <v>0</v>
      </c>
      <c r="AJ106" s="72" t="str">
        <f t="shared" si="9"/>
        <v/>
      </c>
    </row>
    <row r="107" spans="21:36">
      <c r="U107" s="15">
        <v>775</v>
      </c>
      <c r="V107" s="3">
        <f t="shared" si="6"/>
        <v>0</v>
      </c>
      <c r="X107" s="15">
        <v>775</v>
      </c>
      <c r="Y107" s="3">
        <f>Calculations!$C$11*Calculations!$C117*Calculations!$M117*SPD!$C$9</f>
        <v>6.5295619611826491E-5</v>
      </c>
      <c r="Z107" s="3">
        <f>Calculations!$C$11*Calculations!$C117</f>
        <v>0.45094803476310646</v>
      </c>
      <c r="AA107" s="18">
        <f>Calculations!$C$11*Calculations!$C117*$X107*SPD!$C$10</f>
        <v>1759347007999.855</v>
      </c>
      <c r="AC107" s="15">
        <v>775</v>
      </c>
      <c r="AD107" s="2">
        <f>Calculations!$C$11*Calculations!$C117</f>
        <v>0.45094803476310646</v>
      </c>
      <c r="AE107" s="2">
        <f>HLOOKUP($O$4,Calculations!$I$21:$AG$118,ROW()-10,FALSE)*5</f>
        <v>0</v>
      </c>
      <c r="AF107" s="2">
        <f t="shared" si="8"/>
        <v>0</v>
      </c>
      <c r="AH107" s="2">
        <f t="shared" si="7"/>
        <v>775</v>
      </c>
      <c r="AI107" s="217">
        <f>INPUT!B97</f>
        <v>0</v>
      </c>
      <c r="AJ107" s="72" t="str">
        <f t="shared" si="9"/>
        <v/>
      </c>
    </row>
    <row r="108" spans="21:36" ht="15.75" thickBot="1">
      <c r="U108" s="15">
        <v>780</v>
      </c>
      <c r="V108" s="3">
        <f t="shared" si="6"/>
        <v>0</v>
      </c>
      <c r="X108" s="15">
        <v>780</v>
      </c>
      <c r="Y108" s="3">
        <f>Calculations!$C$11*Calculations!$C118*Calculations!$M118*SPD!$C$9</f>
        <v>4.4955166783512381E-5</v>
      </c>
      <c r="Z108" s="3">
        <f>Calculations!$C$11*Calculations!$C118</f>
        <v>0.43909277642340899</v>
      </c>
      <c r="AA108" s="18">
        <f>Calculations!$C$11*Calculations!$C118*$X108*SPD!$C$10</f>
        <v>1724146642895.2805</v>
      </c>
      <c r="AC108" s="15">
        <v>780</v>
      </c>
      <c r="AD108" s="2">
        <f>Calculations!$C$11*Calculations!$C118</f>
        <v>0.43909277642340899</v>
      </c>
      <c r="AE108" s="2">
        <f>HLOOKUP($O$4,Calculations!$I$21:$AG$118,ROW()-10,FALSE)*5</f>
        <v>0</v>
      </c>
      <c r="AF108" s="2">
        <f t="shared" si="8"/>
        <v>0</v>
      </c>
      <c r="AH108" s="2">
        <f t="shared" si="7"/>
        <v>780</v>
      </c>
      <c r="AI108" s="218">
        <f>INPUT!B98</f>
        <v>0</v>
      </c>
      <c r="AJ108" s="72" t="str">
        <f t="shared" si="9"/>
        <v/>
      </c>
    </row>
    <row r="109" spans="21:36">
      <c r="AH109" s="2" t="str">
        <f t="shared" si="7"/>
        <v/>
      </c>
      <c r="AI109" s="49"/>
      <c r="AJ109" s="72" t="str">
        <f t="shared" ref="AJ109:AJ141" si="10">IF(AND($D$6="1nm spectral data",$AH109&lt;&gt;""),IF($AH109/5=INT($AH109/5),SUM($AI107:$AI111),""),"")</f>
        <v/>
      </c>
    </row>
    <row r="110" spans="21:36">
      <c r="AH110" s="2" t="str">
        <f t="shared" si="7"/>
        <v/>
      </c>
      <c r="AI110" s="49"/>
      <c r="AJ110" s="72" t="str">
        <f t="shared" si="10"/>
        <v/>
      </c>
    </row>
    <row r="111" spans="21:36">
      <c r="AH111" s="2" t="str">
        <f t="shared" si="7"/>
        <v/>
      </c>
      <c r="AI111" s="49"/>
      <c r="AJ111" s="72" t="str">
        <f t="shared" si="10"/>
        <v/>
      </c>
    </row>
    <row r="112" spans="21:36">
      <c r="AH112" s="2" t="str">
        <f t="shared" si="7"/>
        <v/>
      </c>
      <c r="AI112" s="49"/>
      <c r="AJ112" s="72" t="str">
        <f t="shared" si="10"/>
        <v/>
      </c>
    </row>
    <row r="113" spans="34:36">
      <c r="AH113" s="2" t="str">
        <f t="shared" si="7"/>
        <v/>
      </c>
      <c r="AI113" s="49"/>
      <c r="AJ113" s="72" t="str">
        <f t="shared" si="10"/>
        <v/>
      </c>
    </row>
    <row r="114" spans="34:36">
      <c r="AH114" s="2" t="str">
        <f t="shared" si="7"/>
        <v/>
      </c>
      <c r="AI114" s="49"/>
      <c r="AJ114" s="72" t="str">
        <f t="shared" si="10"/>
        <v/>
      </c>
    </row>
    <row r="115" spans="34:36">
      <c r="AH115" s="2" t="str">
        <f t="shared" si="7"/>
        <v/>
      </c>
      <c r="AI115" s="49"/>
      <c r="AJ115" s="72" t="str">
        <f t="shared" si="10"/>
        <v/>
      </c>
    </row>
    <row r="116" spans="34:36">
      <c r="AH116" s="2" t="str">
        <f t="shared" si="7"/>
        <v/>
      </c>
      <c r="AI116" s="49"/>
      <c r="AJ116" s="72" t="str">
        <f t="shared" si="10"/>
        <v/>
      </c>
    </row>
    <row r="117" spans="34:36">
      <c r="AH117" s="2" t="str">
        <f t="shared" si="7"/>
        <v/>
      </c>
      <c r="AI117" s="49"/>
      <c r="AJ117" s="72" t="str">
        <f t="shared" si="10"/>
        <v/>
      </c>
    </row>
    <row r="118" spans="34:36">
      <c r="AH118" s="2" t="str">
        <f t="shared" si="7"/>
        <v/>
      </c>
      <c r="AI118" s="49"/>
      <c r="AJ118" s="72" t="str">
        <f t="shared" si="10"/>
        <v/>
      </c>
    </row>
    <row r="119" spans="34:36">
      <c r="AH119" s="2" t="str">
        <f t="shared" si="7"/>
        <v/>
      </c>
      <c r="AI119" s="49"/>
      <c r="AJ119" s="72" t="str">
        <f t="shared" si="10"/>
        <v/>
      </c>
    </row>
    <row r="120" spans="34:36">
      <c r="AH120" s="2" t="str">
        <f t="shared" si="7"/>
        <v/>
      </c>
      <c r="AI120" s="49"/>
      <c r="AJ120" s="72" t="str">
        <f t="shared" si="10"/>
        <v/>
      </c>
    </row>
    <row r="121" spans="34:36">
      <c r="AH121" s="2" t="str">
        <f t="shared" si="7"/>
        <v/>
      </c>
      <c r="AI121" s="49"/>
      <c r="AJ121" s="72" t="str">
        <f t="shared" si="10"/>
        <v/>
      </c>
    </row>
    <row r="122" spans="34:36">
      <c r="AH122" s="2" t="str">
        <f t="shared" si="7"/>
        <v/>
      </c>
      <c r="AI122" s="49"/>
      <c r="AJ122" s="72" t="str">
        <f t="shared" si="10"/>
        <v/>
      </c>
    </row>
    <row r="123" spans="34:36">
      <c r="AH123" s="2" t="str">
        <f t="shared" si="7"/>
        <v/>
      </c>
      <c r="AI123" s="49"/>
      <c r="AJ123" s="72" t="str">
        <f t="shared" si="10"/>
        <v/>
      </c>
    </row>
    <row r="124" spans="34:36">
      <c r="AH124" s="2" t="str">
        <f t="shared" si="7"/>
        <v/>
      </c>
      <c r="AI124" s="49"/>
      <c r="AJ124" s="72" t="str">
        <f t="shared" si="10"/>
        <v/>
      </c>
    </row>
    <row r="125" spans="34:36">
      <c r="AH125" s="2" t="str">
        <f t="shared" si="7"/>
        <v/>
      </c>
      <c r="AI125" s="49"/>
      <c r="AJ125" s="72" t="str">
        <f t="shared" si="10"/>
        <v/>
      </c>
    </row>
    <row r="126" spans="34:36">
      <c r="AH126" s="2" t="str">
        <f t="shared" si="7"/>
        <v/>
      </c>
      <c r="AI126" s="49"/>
      <c r="AJ126" s="72" t="str">
        <f t="shared" si="10"/>
        <v/>
      </c>
    </row>
    <row r="127" spans="34:36">
      <c r="AH127" s="2" t="str">
        <f t="shared" si="7"/>
        <v/>
      </c>
      <c r="AI127" s="49"/>
      <c r="AJ127" s="72" t="str">
        <f t="shared" si="10"/>
        <v/>
      </c>
    </row>
    <row r="128" spans="34:36">
      <c r="AH128" s="2" t="str">
        <f t="shared" si="7"/>
        <v/>
      </c>
      <c r="AI128" s="49"/>
      <c r="AJ128" s="72" t="str">
        <f t="shared" si="10"/>
        <v/>
      </c>
    </row>
    <row r="129" spans="34:36">
      <c r="AH129" s="2" t="str">
        <f t="shared" si="7"/>
        <v/>
      </c>
      <c r="AI129" s="49"/>
      <c r="AJ129" s="72" t="str">
        <f t="shared" si="10"/>
        <v/>
      </c>
    </row>
    <row r="130" spans="34:36">
      <c r="AH130" s="2" t="str">
        <f t="shared" si="7"/>
        <v/>
      </c>
      <c r="AI130" s="49"/>
      <c r="AJ130" s="72" t="str">
        <f t="shared" si="10"/>
        <v/>
      </c>
    </row>
    <row r="131" spans="34:36">
      <c r="AH131" s="2" t="str">
        <f t="shared" si="7"/>
        <v/>
      </c>
      <c r="AI131" s="49"/>
      <c r="AJ131" s="72" t="str">
        <f t="shared" si="10"/>
        <v/>
      </c>
    </row>
    <row r="132" spans="34:36">
      <c r="AH132" s="2" t="str">
        <f t="shared" si="7"/>
        <v/>
      </c>
      <c r="AI132" s="49"/>
      <c r="AJ132" s="72" t="str">
        <f t="shared" si="10"/>
        <v/>
      </c>
    </row>
    <row r="133" spans="34:36">
      <c r="AH133" s="2" t="str">
        <f t="shared" si="7"/>
        <v/>
      </c>
      <c r="AI133" s="49"/>
      <c r="AJ133" s="72" t="str">
        <f t="shared" si="10"/>
        <v/>
      </c>
    </row>
    <row r="134" spans="34:36">
      <c r="AH134" s="2" t="str">
        <f t="shared" si="7"/>
        <v/>
      </c>
      <c r="AI134" s="49"/>
      <c r="AJ134" s="72" t="str">
        <f t="shared" si="10"/>
        <v/>
      </c>
    </row>
    <row r="135" spans="34:36">
      <c r="AH135" s="2" t="str">
        <f t="shared" si="7"/>
        <v/>
      </c>
      <c r="AI135" s="49"/>
      <c r="AJ135" s="72" t="str">
        <f t="shared" si="10"/>
        <v/>
      </c>
    </row>
    <row r="136" spans="34:36">
      <c r="AH136" s="2" t="str">
        <f t="shared" si="7"/>
        <v/>
      </c>
      <c r="AI136" s="49"/>
      <c r="AJ136" s="72" t="str">
        <f t="shared" si="10"/>
        <v/>
      </c>
    </row>
    <row r="137" spans="34:36">
      <c r="AH137" s="2" t="str">
        <f t="shared" si="7"/>
        <v/>
      </c>
      <c r="AI137" s="49"/>
      <c r="AJ137" s="72" t="str">
        <f t="shared" si="10"/>
        <v/>
      </c>
    </row>
    <row r="138" spans="34:36">
      <c r="AH138" s="2" t="str">
        <f t="shared" si="7"/>
        <v/>
      </c>
      <c r="AI138" s="49"/>
      <c r="AJ138" s="72" t="str">
        <f t="shared" si="10"/>
        <v/>
      </c>
    </row>
    <row r="139" spans="34:36">
      <c r="AH139" s="2" t="str">
        <f t="shared" si="7"/>
        <v/>
      </c>
      <c r="AI139" s="49"/>
      <c r="AJ139" s="72" t="str">
        <f t="shared" si="10"/>
        <v/>
      </c>
    </row>
    <row r="140" spans="34:36">
      <c r="AH140" s="2" t="str">
        <f t="shared" ref="AH140:AH203" si="11">IF(ROW()&gt;IF($D$6="1nm spectral data",496,108),"",IF($D$6="1nm spectral data",298,300)+IF($D$6="1nm spectral data",1,5)*(ROW()-ROW($AH$12)))</f>
        <v/>
      </c>
      <c r="AI140" s="49"/>
      <c r="AJ140" s="72" t="str">
        <f t="shared" si="10"/>
        <v/>
      </c>
    </row>
    <row r="141" spans="34:36">
      <c r="AH141" s="2" t="str">
        <f t="shared" si="11"/>
        <v/>
      </c>
      <c r="AI141" s="49"/>
      <c r="AJ141" s="72" t="str">
        <f t="shared" si="10"/>
        <v/>
      </c>
    </row>
    <row r="142" spans="34:36">
      <c r="AH142" s="2" t="str">
        <f t="shared" si="11"/>
        <v/>
      </c>
      <c r="AI142" s="49"/>
      <c r="AJ142" s="72" t="str">
        <f t="shared" ref="AJ142:AJ205" si="12">IF(AND($D$6="1nm spectral data",$AH142&lt;&gt;""),IF($AH142/5=INT($AH142/5),SUM($AI140:$AI144),""),"")</f>
        <v/>
      </c>
    </row>
    <row r="143" spans="34:36">
      <c r="AH143" s="2" t="str">
        <f t="shared" si="11"/>
        <v/>
      </c>
      <c r="AI143" s="49"/>
      <c r="AJ143" s="72" t="str">
        <f t="shared" si="12"/>
        <v/>
      </c>
    </row>
    <row r="144" spans="34:36">
      <c r="AH144" s="2" t="str">
        <f t="shared" si="11"/>
        <v/>
      </c>
      <c r="AI144" s="49"/>
      <c r="AJ144" s="72" t="str">
        <f t="shared" si="12"/>
        <v/>
      </c>
    </row>
    <row r="145" spans="34:36">
      <c r="AH145" s="2" t="str">
        <f t="shared" si="11"/>
        <v/>
      </c>
      <c r="AI145" s="49"/>
      <c r="AJ145" s="72" t="str">
        <f t="shared" si="12"/>
        <v/>
      </c>
    </row>
    <row r="146" spans="34:36">
      <c r="AH146" s="2" t="str">
        <f t="shared" si="11"/>
        <v/>
      </c>
      <c r="AI146" s="49"/>
      <c r="AJ146" s="72" t="str">
        <f t="shared" si="12"/>
        <v/>
      </c>
    </row>
    <row r="147" spans="34:36">
      <c r="AH147" s="2" t="str">
        <f t="shared" si="11"/>
        <v/>
      </c>
      <c r="AI147" s="49"/>
      <c r="AJ147" s="72" t="str">
        <f t="shared" si="12"/>
        <v/>
      </c>
    </row>
    <row r="148" spans="34:36">
      <c r="AH148" s="2" t="str">
        <f t="shared" si="11"/>
        <v/>
      </c>
      <c r="AI148" s="49"/>
      <c r="AJ148" s="72" t="str">
        <f t="shared" si="12"/>
        <v/>
      </c>
    </row>
    <row r="149" spans="34:36">
      <c r="AH149" s="2" t="str">
        <f t="shared" si="11"/>
        <v/>
      </c>
      <c r="AI149" s="49"/>
      <c r="AJ149" s="72" t="str">
        <f t="shared" si="12"/>
        <v/>
      </c>
    </row>
    <row r="150" spans="34:36">
      <c r="AH150" s="2" t="str">
        <f t="shared" si="11"/>
        <v/>
      </c>
      <c r="AI150" s="49"/>
      <c r="AJ150" s="72" t="str">
        <f t="shared" si="12"/>
        <v/>
      </c>
    </row>
    <row r="151" spans="34:36">
      <c r="AH151" s="2" t="str">
        <f t="shared" si="11"/>
        <v/>
      </c>
      <c r="AI151" s="49"/>
      <c r="AJ151" s="72" t="str">
        <f t="shared" si="12"/>
        <v/>
      </c>
    </row>
    <row r="152" spans="34:36">
      <c r="AH152" s="2" t="str">
        <f t="shared" si="11"/>
        <v/>
      </c>
      <c r="AI152" s="49"/>
      <c r="AJ152" s="72" t="str">
        <f t="shared" si="12"/>
        <v/>
      </c>
    </row>
    <row r="153" spans="34:36">
      <c r="AH153" s="2" t="str">
        <f t="shared" si="11"/>
        <v/>
      </c>
      <c r="AI153" s="49"/>
      <c r="AJ153" s="72" t="str">
        <f t="shared" si="12"/>
        <v/>
      </c>
    </row>
    <row r="154" spans="34:36">
      <c r="AH154" s="2" t="str">
        <f t="shared" si="11"/>
        <v/>
      </c>
      <c r="AI154" s="49"/>
      <c r="AJ154" s="72" t="str">
        <f t="shared" si="12"/>
        <v/>
      </c>
    </row>
    <row r="155" spans="34:36">
      <c r="AH155" s="2" t="str">
        <f t="shared" si="11"/>
        <v/>
      </c>
      <c r="AI155" s="49"/>
      <c r="AJ155" s="72" t="str">
        <f t="shared" si="12"/>
        <v/>
      </c>
    </row>
    <row r="156" spans="34:36">
      <c r="AH156" s="2" t="str">
        <f t="shared" si="11"/>
        <v/>
      </c>
      <c r="AI156" s="49"/>
      <c r="AJ156" s="72" t="str">
        <f t="shared" si="12"/>
        <v/>
      </c>
    </row>
    <row r="157" spans="34:36">
      <c r="AH157" s="2" t="str">
        <f t="shared" si="11"/>
        <v/>
      </c>
      <c r="AI157" s="49"/>
      <c r="AJ157" s="72" t="str">
        <f t="shared" si="12"/>
        <v/>
      </c>
    </row>
    <row r="158" spans="34:36">
      <c r="AH158" s="2" t="str">
        <f t="shared" si="11"/>
        <v/>
      </c>
      <c r="AI158" s="49"/>
      <c r="AJ158" s="72" t="str">
        <f t="shared" si="12"/>
        <v/>
      </c>
    </row>
    <row r="159" spans="34:36">
      <c r="AH159" s="2" t="str">
        <f t="shared" si="11"/>
        <v/>
      </c>
      <c r="AI159" s="49"/>
      <c r="AJ159" s="72" t="str">
        <f t="shared" si="12"/>
        <v/>
      </c>
    </row>
    <row r="160" spans="34:36">
      <c r="AH160" s="2" t="str">
        <f t="shared" si="11"/>
        <v/>
      </c>
      <c r="AI160" s="49"/>
      <c r="AJ160" s="72" t="str">
        <f t="shared" si="12"/>
        <v/>
      </c>
    </row>
    <row r="161" spans="34:36">
      <c r="AH161" s="2" t="str">
        <f t="shared" si="11"/>
        <v/>
      </c>
      <c r="AI161" s="49"/>
      <c r="AJ161" s="72" t="str">
        <f t="shared" si="12"/>
        <v/>
      </c>
    </row>
    <row r="162" spans="34:36">
      <c r="AH162" s="2" t="str">
        <f t="shared" si="11"/>
        <v/>
      </c>
      <c r="AI162" s="49"/>
      <c r="AJ162" s="72" t="str">
        <f t="shared" si="12"/>
        <v/>
      </c>
    </row>
    <row r="163" spans="34:36">
      <c r="AH163" s="2" t="str">
        <f t="shared" si="11"/>
        <v/>
      </c>
      <c r="AI163" s="49"/>
      <c r="AJ163" s="72" t="str">
        <f t="shared" si="12"/>
        <v/>
      </c>
    </row>
    <row r="164" spans="34:36">
      <c r="AH164" s="2" t="str">
        <f t="shared" si="11"/>
        <v/>
      </c>
      <c r="AI164" s="49"/>
      <c r="AJ164" s="72" t="str">
        <f t="shared" si="12"/>
        <v/>
      </c>
    </row>
    <row r="165" spans="34:36">
      <c r="AH165" s="2" t="str">
        <f t="shared" si="11"/>
        <v/>
      </c>
      <c r="AI165" s="49"/>
      <c r="AJ165" s="72" t="str">
        <f t="shared" si="12"/>
        <v/>
      </c>
    </row>
    <row r="166" spans="34:36">
      <c r="AH166" s="2" t="str">
        <f t="shared" si="11"/>
        <v/>
      </c>
      <c r="AI166" s="49"/>
      <c r="AJ166" s="72" t="str">
        <f t="shared" si="12"/>
        <v/>
      </c>
    </row>
    <row r="167" spans="34:36">
      <c r="AH167" s="2" t="str">
        <f t="shared" si="11"/>
        <v/>
      </c>
      <c r="AI167" s="49"/>
      <c r="AJ167" s="72" t="str">
        <f t="shared" si="12"/>
        <v/>
      </c>
    </row>
    <row r="168" spans="34:36">
      <c r="AH168" s="2" t="str">
        <f t="shared" si="11"/>
        <v/>
      </c>
      <c r="AI168" s="49"/>
      <c r="AJ168" s="72" t="str">
        <f t="shared" si="12"/>
        <v/>
      </c>
    </row>
    <row r="169" spans="34:36">
      <c r="AH169" s="2" t="str">
        <f t="shared" si="11"/>
        <v/>
      </c>
      <c r="AI169" s="49"/>
      <c r="AJ169" s="72" t="str">
        <f t="shared" si="12"/>
        <v/>
      </c>
    </row>
    <row r="170" spans="34:36">
      <c r="AH170" s="2" t="str">
        <f t="shared" si="11"/>
        <v/>
      </c>
      <c r="AI170" s="49"/>
      <c r="AJ170" s="72" t="str">
        <f t="shared" si="12"/>
        <v/>
      </c>
    </row>
    <row r="171" spans="34:36">
      <c r="AH171" s="2" t="str">
        <f t="shared" si="11"/>
        <v/>
      </c>
      <c r="AI171" s="49"/>
      <c r="AJ171" s="72" t="str">
        <f t="shared" si="12"/>
        <v/>
      </c>
    </row>
    <row r="172" spans="34:36">
      <c r="AH172" s="2" t="str">
        <f t="shared" si="11"/>
        <v/>
      </c>
      <c r="AI172" s="49"/>
      <c r="AJ172" s="72" t="str">
        <f t="shared" si="12"/>
        <v/>
      </c>
    </row>
    <row r="173" spans="34:36">
      <c r="AH173" s="2" t="str">
        <f t="shared" si="11"/>
        <v/>
      </c>
      <c r="AI173" s="49"/>
      <c r="AJ173" s="72" t="str">
        <f t="shared" si="12"/>
        <v/>
      </c>
    </row>
    <row r="174" spans="34:36">
      <c r="AH174" s="2" t="str">
        <f t="shared" si="11"/>
        <v/>
      </c>
      <c r="AI174" s="49"/>
      <c r="AJ174" s="72" t="str">
        <f t="shared" si="12"/>
        <v/>
      </c>
    </row>
    <row r="175" spans="34:36">
      <c r="AH175" s="2" t="str">
        <f t="shared" si="11"/>
        <v/>
      </c>
      <c r="AI175" s="49"/>
      <c r="AJ175" s="72" t="str">
        <f t="shared" si="12"/>
        <v/>
      </c>
    </row>
    <row r="176" spans="34:36">
      <c r="AH176" s="2" t="str">
        <f t="shared" si="11"/>
        <v/>
      </c>
      <c r="AI176" s="49"/>
      <c r="AJ176" s="72" t="str">
        <f t="shared" si="12"/>
        <v/>
      </c>
    </row>
    <row r="177" spans="34:36">
      <c r="AH177" s="2" t="str">
        <f t="shared" si="11"/>
        <v/>
      </c>
      <c r="AI177" s="49"/>
      <c r="AJ177" s="72" t="str">
        <f t="shared" si="12"/>
        <v/>
      </c>
    </row>
    <row r="178" spans="34:36">
      <c r="AH178" s="2" t="str">
        <f t="shared" si="11"/>
        <v/>
      </c>
      <c r="AI178" s="49"/>
      <c r="AJ178" s="72" t="str">
        <f t="shared" si="12"/>
        <v/>
      </c>
    </row>
    <row r="179" spans="34:36">
      <c r="AH179" s="2" t="str">
        <f t="shared" si="11"/>
        <v/>
      </c>
      <c r="AI179" s="49"/>
      <c r="AJ179" s="72" t="str">
        <f t="shared" si="12"/>
        <v/>
      </c>
    </row>
    <row r="180" spans="34:36">
      <c r="AH180" s="2" t="str">
        <f t="shared" si="11"/>
        <v/>
      </c>
      <c r="AI180" s="49"/>
      <c r="AJ180" s="72" t="str">
        <f t="shared" si="12"/>
        <v/>
      </c>
    </row>
    <row r="181" spans="34:36">
      <c r="AH181" s="2" t="str">
        <f t="shared" si="11"/>
        <v/>
      </c>
      <c r="AI181" s="49"/>
      <c r="AJ181" s="72" t="str">
        <f t="shared" si="12"/>
        <v/>
      </c>
    </row>
    <row r="182" spans="34:36">
      <c r="AH182" s="2" t="str">
        <f t="shared" si="11"/>
        <v/>
      </c>
      <c r="AI182" s="49"/>
      <c r="AJ182" s="72" t="str">
        <f t="shared" si="12"/>
        <v/>
      </c>
    </row>
    <row r="183" spans="34:36">
      <c r="AH183" s="2" t="str">
        <f t="shared" si="11"/>
        <v/>
      </c>
      <c r="AI183" s="49"/>
      <c r="AJ183" s="72" t="str">
        <f t="shared" si="12"/>
        <v/>
      </c>
    </row>
    <row r="184" spans="34:36">
      <c r="AH184" s="2" t="str">
        <f t="shared" si="11"/>
        <v/>
      </c>
      <c r="AI184" s="49"/>
      <c r="AJ184" s="72" t="str">
        <f t="shared" si="12"/>
        <v/>
      </c>
    </row>
    <row r="185" spans="34:36">
      <c r="AH185" s="2" t="str">
        <f t="shared" si="11"/>
        <v/>
      </c>
      <c r="AI185" s="49"/>
      <c r="AJ185" s="72" t="str">
        <f t="shared" si="12"/>
        <v/>
      </c>
    </row>
    <row r="186" spans="34:36">
      <c r="AH186" s="2" t="str">
        <f t="shared" si="11"/>
        <v/>
      </c>
      <c r="AI186" s="49"/>
      <c r="AJ186" s="72" t="str">
        <f t="shared" si="12"/>
        <v/>
      </c>
    </row>
    <row r="187" spans="34:36">
      <c r="AH187" s="2" t="str">
        <f t="shared" si="11"/>
        <v/>
      </c>
      <c r="AI187" s="49"/>
      <c r="AJ187" s="72" t="str">
        <f t="shared" si="12"/>
        <v/>
      </c>
    </row>
    <row r="188" spans="34:36">
      <c r="AH188" s="2" t="str">
        <f t="shared" si="11"/>
        <v/>
      </c>
      <c r="AI188" s="49"/>
      <c r="AJ188" s="72" t="str">
        <f t="shared" si="12"/>
        <v/>
      </c>
    </row>
    <row r="189" spans="34:36">
      <c r="AH189" s="2" t="str">
        <f t="shared" si="11"/>
        <v/>
      </c>
      <c r="AI189" s="49"/>
      <c r="AJ189" s="72" t="str">
        <f t="shared" si="12"/>
        <v/>
      </c>
    </row>
    <row r="190" spans="34:36">
      <c r="AH190" s="2" t="str">
        <f t="shared" si="11"/>
        <v/>
      </c>
      <c r="AI190" s="49"/>
      <c r="AJ190" s="72" t="str">
        <f t="shared" si="12"/>
        <v/>
      </c>
    </row>
    <row r="191" spans="34:36">
      <c r="AH191" s="2" t="str">
        <f t="shared" si="11"/>
        <v/>
      </c>
      <c r="AI191" s="49"/>
      <c r="AJ191" s="72" t="str">
        <f t="shared" si="12"/>
        <v/>
      </c>
    </row>
    <row r="192" spans="34:36">
      <c r="AH192" s="2" t="str">
        <f t="shared" si="11"/>
        <v/>
      </c>
      <c r="AI192" s="49"/>
      <c r="AJ192" s="72" t="str">
        <f t="shared" si="12"/>
        <v/>
      </c>
    </row>
    <row r="193" spans="34:36">
      <c r="AH193" s="2" t="str">
        <f t="shared" si="11"/>
        <v/>
      </c>
      <c r="AI193" s="49"/>
      <c r="AJ193" s="72" t="str">
        <f t="shared" si="12"/>
        <v/>
      </c>
    </row>
    <row r="194" spans="34:36">
      <c r="AH194" s="2" t="str">
        <f t="shared" si="11"/>
        <v/>
      </c>
      <c r="AI194" s="49"/>
      <c r="AJ194" s="72" t="str">
        <f t="shared" si="12"/>
        <v/>
      </c>
    </row>
    <row r="195" spans="34:36">
      <c r="AH195" s="2" t="str">
        <f t="shared" si="11"/>
        <v/>
      </c>
      <c r="AI195" s="49"/>
      <c r="AJ195" s="72" t="str">
        <f t="shared" si="12"/>
        <v/>
      </c>
    </row>
    <row r="196" spans="34:36">
      <c r="AH196" s="2" t="str">
        <f t="shared" si="11"/>
        <v/>
      </c>
      <c r="AI196" s="49"/>
      <c r="AJ196" s="72" t="str">
        <f t="shared" si="12"/>
        <v/>
      </c>
    </row>
    <row r="197" spans="34:36">
      <c r="AH197" s="2" t="str">
        <f t="shared" si="11"/>
        <v/>
      </c>
      <c r="AI197" s="49"/>
      <c r="AJ197" s="72" t="str">
        <f t="shared" si="12"/>
        <v/>
      </c>
    </row>
    <row r="198" spans="34:36">
      <c r="AH198" s="2" t="str">
        <f t="shared" si="11"/>
        <v/>
      </c>
      <c r="AI198" s="49"/>
      <c r="AJ198" s="72" t="str">
        <f t="shared" si="12"/>
        <v/>
      </c>
    </row>
    <row r="199" spans="34:36">
      <c r="AH199" s="2" t="str">
        <f t="shared" si="11"/>
        <v/>
      </c>
      <c r="AI199" s="49"/>
      <c r="AJ199" s="72" t="str">
        <f t="shared" si="12"/>
        <v/>
      </c>
    </row>
    <row r="200" spans="34:36">
      <c r="AH200" s="2" t="str">
        <f t="shared" si="11"/>
        <v/>
      </c>
      <c r="AI200" s="49"/>
      <c r="AJ200" s="72" t="str">
        <f t="shared" si="12"/>
        <v/>
      </c>
    </row>
    <row r="201" spans="34:36">
      <c r="AH201" s="2" t="str">
        <f t="shared" si="11"/>
        <v/>
      </c>
      <c r="AI201" s="49"/>
      <c r="AJ201" s="72" t="str">
        <f t="shared" si="12"/>
        <v/>
      </c>
    </row>
    <row r="202" spans="34:36">
      <c r="AH202" s="2" t="str">
        <f t="shared" si="11"/>
        <v/>
      </c>
      <c r="AI202" s="49"/>
      <c r="AJ202" s="72" t="str">
        <f t="shared" si="12"/>
        <v/>
      </c>
    </row>
    <row r="203" spans="34:36">
      <c r="AH203" s="2" t="str">
        <f t="shared" si="11"/>
        <v/>
      </c>
      <c r="AI203" s="49"/>
      <c r="AJ203" s="72" t="str">
        <f t="shared" si="12"/>
        <v/>
      </c>
    </row>
    <row r="204" spans="34:36">
      <c r="AH204" s="2" t="str">
        <f t="shared" ref="AH204:AH267" si="13">IF(ROW()&gt;IF($D$6="1nm spectral data",496,108),"",IF($D$6="1nm spectral data",298,300)+IF($D$6="1nm spectral data",1,5)*(ROW()-ROW($AH$12)))</f>
        <v/>
      </c>
      <c r="AI204" s="49"/>
      <c r="AJ204" s="72" t="str">
        <f t="shared" si="12"/>
        <v/>
      </c>
    </row>
    <row r="205" spans="34:36">
      <c r="AH205" s="2" t="str">
        <f t="shared" si="13"/>
        <v/>
      </c>
      <c r="AI205" s="49"/>
      <c r="AJ205" s="72" t="str">
        <f t="shared" si="12"/>
        <v/>
      </c>
    </row>
    <row r="206" spans="34:36">
      <c r="AH206" s="2" t="str">
        <f t="shared" si="13"/>
        <v/>
      </c>
      <c r="AI206" s="49"/>
      <c r="AJ206" s="72" t="str">
        <f t="shared" ref="AJ206:AJ269" si="14">IF(AND($D$6="1nm spectral data",$AH206&lt;&gt;""),IF($AH206/5=INT($AH206/5),SUM($AI204:$AI208),""),"")</f>
        <v/>
      </c>
    </row>
    <row r="207" spans="34:36">
      <c r="AH207" s="2" t="str">
        <f t="shared" si="13"/>
        <v/>
      </c>
      <c r="AI207" s="49"/>
      <c r="AJ207" s="72" t="str">
        <f t="shared" si="14"/>
        <v/>
      </c>
    </row>
    <row r="208" spans="34:36">
      <c r="AH208" s="2" t="str">
        <f t="shared" si="13"/>
        <v/>
      </c>
      <c r="AI208" s="49"/>
      <c r="AJ208" s="72" t="str">
        <f t="shared" si="14"/>
        <v/>
      </c>
    </row>
    <row r="209" spans="34:36">
      <c r="AH209" s="2" t="str">
        <f t="shared" si="13"/>
        <v/>
      </c>
      <c r="AI209" s="49"/>
      <c r="AJ209" s="72" t="str">
        <f t="shared" si="14"/>
        <v/>
      </c>
    </row>
    <row r="210" spans="34:36">
      <c r="AH210" s="2" t="str">
        <f t="shared" si="13"/>
        <v/>
      </c>
      <c r="AI210" s="49"/>
      <c r="AJ210" s="72" t="str">
        <f t="shared" si="14"/>
        <v/>
      </c>
    </row>
    <row r="211" spans="34:36">
      <c r="AH211" s="2" t="str">
        <f t="shared" si="13"/>
        <v/>
      </c>
      <c r="AI211" s="49"/>
      <c r="AJ211" s="72" t="str">
        <f t="shared" si="14"/>
        <v/>
      </c>
    </row>
    <row r="212" spans="34:36">
      <c r="AH212" s="2" t="str">
        <f t="shared" si="13"/>
        <v/>
      </c>
      <c r="AI212" s="49"/>
      <c r="AJ212" s="72" t="str">
        <f t="shared" si="14"/>
        <v/>
      </c>
    </row>
    <row r="213" spans="34:36">
      <c r="AH213" s="2" t="str">
        <f t="shared" si="13"/>
        <v/>
      </c>
      <c r="AI213" s="49"/>
      <c r="AJ213" s="72" t="str">
        <f t="shared" si="14"/>
        <v/>
      </c>
    </row>
    <row r="214" spans="34:36">
      <c r="AH214" s="2" t="str">
        <f t="shared" si="13"/>
        <v/>
      </c>
      <c r="AI214" s="49"/>
      <c r="AJ214" s="72" t="str">
        <f t="shared" si="14"/>
        <v/>
      </c>
    </row>
    <row r="215" spans="34:36">
      <c r="AH215" s="2" t="str">
        <f t="shared" si="13"/>
        <v/>
      </c>
      <c r="AI215" s="49"/>
      <c r="AJ215" s="72" t="str">
        <f t="shared" si="14"/>
        <v/>
      </c>
    </row>
    <row r="216" spans="34:36">
      <c r="AH216" s="2" t="str">
        <f t="shared" si="13"/>
        <v/>
      </c>
      <c r="AI216" s="49"/>
      <c r="AJ216" s="72" t="str">
        <f t="shared" si="14"/>
        <v/>
      </c>
    </row>
    <row r="217" spans="34:36">
      <c r="AH217" s="2" t="str">
        <f t="shared" si="13"/>
        <v/>
      </c>
      <c r="AI217" s="49"/>
      <c r="AJ217" s="72" t="str">
        <f t="shared" si="14"/>
        <v/>
      </c>
    </row>
    <row r="218" spans="34:36">
      <c r="AH218" s="2" t="str">
        <f t="shared" si="13"/>
        <v/>
      </c>
      <c r="AI218" s="49"/>
      <c r="AJ218" s="72" t="str">
        <f t="shared" si="14"/>
        <v/>
      </c>
    </row>
    <row r="219" spans="34:36">
      <c r="AH219" s="2" t="str">
        <f t="shared" si="13"/>
        <v/>
      </c>
      <c r="AI219" s="49"/>
      <c r="AJ219" s="72" t="str">
        <f t="shared" si="14"/>
        <v/>
      </c>
    </row>
    <row r="220" spans="34:36">
      <c r="AH220" s="2" t="str">
        <f t="shared" si="13"/>
        <v/>
      </c>
      <c r="AI220" s="49"/>
      <c r="AJ220" s="72" t="str">
        <f t="shared" si="14"/>
        <v/>
      </c>
    </row>
    <row r="221" spans="34:36">
      <c r="AH221" s="2" t="str">
        <f t="shared" si="13"/>
        <v/>
      </c>
      <c r="AI221" s="49"/>
      <c r="AJ221" s="72" t="str">
        <f t="shared" si="14"/>
        <v/>
      </c>
    </row>
    <row r="222" spans="34:36">
      <c r="AH222" s="2" t="str">
        <f t="shared" si="13"/>
        <v/>
      </c>
      <c r="AI222" s="49"/>
      <c r="AJ222" s="72" t="str">
        <f t="shared" si="14"/>
        <v/>
      </c>
    </row>
    <row r="223" spans="34:36">
      <c r="AH223" s="2" t="str">
        <f t="shared" si="13"/>
        <v/>
      </c>
      <c r="AI223" s="49"/>
      <c r="AJ223" s="72" t="str">
        <f t="shared" si="14"/>
        <v/>
      </c>
    </row>
    <row r="224" spans="34:36">
      <c r="AH224" s="2" t="str">
        <f t="shared" si="13"/>
        <v/>
      </c>
      <c r="AI224" s="49"/>
      <c r="AJ224" s="72" t="str">
        <f t="shared" si="14"/>
        <v/>
      </c>
    </row>
    <row r="225" spans="34:36">
      <c r="AH225" s="2" t="str">
        <f t="shared" si="13"/>
        <v/>
      </c>
      <c r="AI225" s="49"/>
      <c r="AJ225" s="72" t="str">
        <f t="shared" si="14"/>
        <v/>
      </c>
    </row>
    <row r="226" spans="34:36">
      <c r="AH226" s="2" t="str">
        <f t="shared" si="13"/>
        <v/>
      </c>
      <c r="AI226" s="49"/>
      <c r="AJ226" s="72" t="str">
        <f t="shared" si="14"/>
        <v/>
      </c>
    </row>
    <row r="227" spans="34:36">
      <c r="AH227" s="2" t="str">
        <f t="shared" si="13"/>
        <v/>
      </c>
      <c r="AI227" s="49"/>
      <c r="AJ227" s="72" t="str">
        <f t="shared" si="14"/>
        <v/>
      </c>
    </row>
    <row r="228" spans="34:36">
      <c r="AH228" s="2" t="str">
        <f t="shared" si="13"/>
        <v/>
      </c>
      <c r="AI228" s="49"/>
      <c r="AJ228" s="72" t="str">
        <f t="shared" si="14"/>
        <v/>
      </c>
    </row>
    <row r="229" spans="34:36">
      <c r="AH229" s="2" t="str">
        <f t="shared" si="13"/>
        <v/>
      </c>
      <c r="AI229" s="49"/>
      <c r="AJ229" s="72" t="str">
        <f t="shared" si="14"/>
        <v/>
      </c>
    </row>
    <row r="230" spans="34:36">
      <c r="AH230" s="2" t="str">
        <f t="shared" si="13"/>
        <v/>
      </c>
      <c r="AI230" s="49"/>
      <c r="AJ230" s="72" t="str">
        <f t="shared" si="14"/>
        <v/>
      </c>
    </row>
    <row r="231" spans="34:36">
      <c r="AH231" s="2" t="str">
        <f t="shared" si="13"/>
        <v/>
      </c>
      <c r="AI231" s="49"/>
      <c r="AJ231" s="72" t="str">
        <f t="shared" si="14"/>
        <v/>
      </c>
    </row>
    <row r="232" spans="34:36">
      <c r="AH232" s="2" t="str">
        <f t="shared" si="13"/>
        <v/>
      </c>
      <c r="AI232" s="49"/>
      <c r="AJ232" s="72" t="str">
        <f t="shared" si="14"/>
        <v/>
      </c>
    </row>
    <row r="233" spans="34:36">
      <c r="AH233" s="2" t="str">
        <f t="shared" si="13"/>
        <v/>
      </c>
      <c r="AI233" s="49"/>
      <c r="AJ233" s="72" t="str">
        <f t="shared" si="14"/>
        <v/>
      </c>
    </row>
    <row r="234" spans="34:36">
      <c r="AH234" s="2" t="str">
        <f t="shared" si="13"/>
        <v/>
      </c>
      <c r="AI234" s="49"/>
      <c r="AJ234" s="72" t="str">
        <f t="shared" si="14"/>
        <v/>
      </c>
    </row>
    <row r="235" spans="34:36">
      <c r="AH235" s="2" t="str">
        <f t="shared" si="13"/>
        <v/>
      </c>
      <c r="AI235" s="49"/>
      <c r="AJ235" s="72" t="str">
        <f t="shared" si="14"/>
        <v/>
      </c>
    </row>
    <row r="236" spans="34:36">
      <c r="AH236" s="2" t="str">
        <f t="shared" si="13"/>
        <v/>
      </c>
      <c r="AI236" s="49"/>
      <c r="AJ236" s="72" t="str">
        <f t="shared" si="14"/>
        <v/>
      </c>
    </row>
    <row r="237" spans="34:36">
      <c r="AH237" s="2" t="str">
        <f t="shared" si="13"/>
        <v/>
      </c>
      <c r="AI237" s="49"/>
      <c r="AJ237" s="72" t="str">
        <f t="shared" si="14"/>
        <v/>
      </c>
    </row>
    <row r="238" spans="34:36">
      <c r="AH238" s="2" t="str">
        <f t="shared" si="13"/>
        <v/>
      </c>
      <c r="AI238" s="49"/>
      <c r="AJ238" s="72" t="str">
        <f t="shared" si="14"/>
        <v/>
      </c>
    </row>
    <row r="239" spans="34:36">
      <c r="AH239" s="2" t="str">
        <f t="shared" si="13"/>
        <v/>
      </c>
      <c r="AI239" s="49"/>
      <c r="AJ239" s="72" t="str">
        <f t="shared" si="14"/>
        <v/>
      </c>
    </row>
    <row r="240" spans="34:36">
      <c r="AH240" s="2" t="str">
        <f t="shared" si="13"/>
        <v/>
      </c>
      <c r="AI240" s="49"/>
      <c r="AJ240" s="72" t="str">
        <f t="shared" si="14"/>
        <v/>
      </c>
    </row>
    <row r="241" spans="34:36">
      <c r="AH241" s="2" t="str">
        <f t="shared" si="13"/>
        <v/>
      </c>
      <c r="AI241" s="49"/>
      <c r="AJ241" s="72" t="str">
        <f t="shared" si="14"/>
        <v/>
      </c>
    </row>
    <row r="242" spans="34:36">
      <c r="AH242" s="2" t="str">
        <f t="shared" si="13"/>
        <v/>
      </c>
      <c r="AI242" s="49"/>
      <c r="AJ242" s="72" t="str">
        <f t="shared" si="14"/>
        <v/>
      </c>
    </row>
    <row r="243" spans="34:36">
      <c r="AH243" s="2" t="str">
        <f t="shared" si="13"/>
        <v/>
      </c>
      <c r="AI243" s="49"/>
      <c r="AJ243" s="72" t="str">
        <f t="shared" si="14"/>
        <v/>
      </c>
    </row>
    <row r="244" spans="34:36">
      <c r="AH244" s="2" t="str">
        <f t="shared" si="13"/>
        <v/>
      </c>
      <c r="AI244" s="49"/>
      <c r="AJ244" s="72" t="str">
        <f t="shared" si="14"/>
        <v/>
      </c>
    </row>
    <row r="245" spans="34:36">
      <c r="AH245" s="2" t="str">
        <f t="shared" si="13"/>
        <v/>
      </c>
      <c r="AI245" s="49"/>
      <c r="AJ245" s="72" t="str">
        <f t="shared" si="14"/>
        <v/>
      </c>
    </row>
    <row r="246" spans="34:36">
      <c r="AH246" s="2" t="str">
        <f t="shared" si="13"/>
        <v/>
      </c>
      <c r="AI246" s="49"/>
      <c r="AJ246" s="72" t="str">
        <f t="shared" si="14"/>
        <v/>
      </c>
    </row>
    <row r="247" spans="34:36">
      <c r="AH247" s="2" t="str">
        <f t="shared" si="13"/>
        <v/>
      </c>
      <c r="AI247" s="49"/>
      <c r="AJ247" s="72" t="str">
        <f t="shared" si="14"/>
        <v/>
      </c>
    </row>
    <row r="248" spans="34:36">
      <c r="AH248" s="2" t="str">
        <f t="shared" si="13"/>
        <v/>
      </c>
      <c r="AI248" s="49"/>
      <c r="AJ248" s="72" t="str">
        <f t="shared" si="14"/>
        <v/>
      </c>
    </row>
    <row r="249" spans="34:36">
      <c r="AH249" s="2" t="str">
        <f t="shared" si="13"/>
        <v/>
      </c>
      <c r="AI249" s="49"/>
      <c r="AJ249" s="72" t="str">
        <f t="shared" si="14"/>
        <v/>
      </c>
    </row>
    <row r="250" spans="34:36">
      <c r="AH250" s="2" t="str">
        <f t="shared" si="13"/>
        <v/>
      </c>
      <c r="AI250" s="49"/>
      <c r="AJ250" s="72" t="str">
        <f t="shared" si="14"/>
        <v/>
      </c>
    </row>
    <row r="251" spans="34:36">
      <c r="AH251" s="2" t="str">
        <f t="shared" si="13"/>
        <v/>
      </c>
      <c r="AI251" s="49"/>
      <c r="AJ251" s="72" t="str">
        <f t="shared" si="14"/>
        <v/>
      </c>
    </row>
    <row r="252" spans="34:36">
      <c r="AH252" s="2" t="str">
        <f t="shared" si="13"/>
        <v/>
      </c>
      <c r="AI252" s="49"/>
      <c r="AJ252" s="72" t="str">
        <f t="shared" si="14"/>
        <v/>
      </c>
    </row>
    <row r="253" spans="34:36">
      <c r="AH253" s="2" t="str">
        <f t="shared" si="13"/>
        <v/>
      </c>
      <c r="AI253" s="49"/>
      <c r="AJ253" s="72" t="str">
        <f t="shared" si="14"/>
        <v/>
      </c>
    </row>
    <row r="254" spans="34:36">
      <c r="AH254" s="2" t="str">
        <f t="shared" si="13"/>
        <v/>
      </c>
      <c r="AI254" s="49"/>
      <c r="AJ254" s="72" t="str">
        <f t="shared" si="14"/>
        <v/>
      </c>
    </row>
    <row r="255" spans="34:36">
      <c r="AH255" s="2" t="str">
        <f t="shared" si="13"/>
        <v/>
      </c>
      <c r="AI255" s="49"/>
      <c r="AJ255" s="72" t="str">
        <f t="shared" si="14"/>
        <v/>
      </c>
    </row>
    <row r="256" spans="34:36">
      <c r="AH256" s="2" t="str">
        <f t="shared" si="13"/>
        <v/>
      </c>
      <c r="AI256" s="49"/>
      <c r="AJ256" s="72" t="str">
        <f t="shared" si="14"/>
        <v/>
      </c>
    </row>
    <row r="257" spans="34:36">
      <c r="AH257" s="2" t="str">
        <f t="shared" si="13"/>
        <v/>
      </c>
      <c r="AI257" s="49"/>
      <c r="AJ257" s="72" t="str">
        <f t="shared" si="14"/>
        <v/>
      </c>
    </row>
    <row r="258" spans="34:36">
      <c r="AH258" s="2" t="str">
        <f t="shared" si="13"/>
        <v/>
      </c>
      <c r="AI258" s="49"/>
      <c r="AJ258" s="72" t="str">
        <f t="shared" si="14"/>
        <v/>
      </c>
    </row>
    <row r="259" spans="34:36">
      <c r="AH259" s="2" t="str">
        <f t="shared" si="13"/>
        <v/>
      </c>
      <c r="AI259" s="49"/>
      <c r="AJ259" s="72" t="str">
        <f t="shared" si="14"/>
        <v/>
      </c>
    </row>
    <row r="260" spans="34:36">
      <c r="AH260" s="2" t="str">
        <f t="shared" si="13"/>
        <v/>
      </c>
      <c r="AI260" s="49"/>
      <c r="AJ260" s="72" t="str">
        <f t="shared" si="14"/>
        <v/>
      </c>
    </row>
    <row r="261" spans="34:36">
      <c r="AH261" s="2" t="str">
        <f t="shared" si="13"/>
        <v/>
      </c>
      <c r="AI261" s="49"/>
      <c r="AJ261" s="72" t="str">
        <f t="shared" si="14"/>
        <v/>
      </c>
    </row>
    <row r="262" spans="34:36">
      <c r="AH262" s="2" t="str">
        <f t="shared" si="13"/>
        <v/>
      </c>
      <c r="AI262" s="49"/>
      <c r="AJ262" s="72" t="str">
        <f t="shared" si="14"/>
        <v/>
      </c>
    </row>
    <row r="263" spans="34:36">
      <c r="AH263" s="2" t="str">
        <f t="shared" si="13"/>
        <v/>
      </c>
      <c r="AI263" s="49"/>
      <c r="AJ263" s="72" t="str">
        <f t="shared" si="14"/>
        <v/>
      </c>
    </row>
    <row r="264" spans="34:36">
      <c r="AH264" s="2" t="str">
        <f t="shared" si="13"/>
        <v/>
      </c>
      <c r="AI264" s="49"/>
      <c r="AJ264" s="72" t="str">
        <f t="shared" si="14"/>
        <v/>
      </c>
    </row>
    <row r="265" spans="34:36">
      <c r="AH265" s="2" t="str">
        <f t="shared" si="13"/>
        <v/>
      </c>
      <c r="AI265" s="49"/>
      <c r="AJ265" s="72" t="str">
        <f t="shared" si="14"/>
        <v/>
      </c>
    </row>
    <row r="266" spans="34:36">
      <c r="AH266" s="2" t="str">
        <f t="shared" si="13"/>
        <v/>
      </c>
      <c r="AI266" s="49"/>
      <c r="AJ266" s="72" t="str">
        <f t="shared" si="14"/>
        <v/>
      </c>
    </row>
    <row r="267" spans="34:36">
      <c r="AH267" s="2" t="str">
        <f t="shared" si="13"/>
        <v/>
      </c>
      <c r="AI267" s="49"/>
      <c r="AJ267" s="72" t="str">
        <f t="shared" si="14"/>
        <v/>
      </c>
    </row>
    <row r="268" spans="34:36">
      <c r="AH268" s="2" t="str">
        <f t="shared" ref="AH268:AH331" si="15">IF(ROW()&gt;IF($D$6="1nm spectral data",496,108),"",IF($D$6="1nm spectral data",298,300)+IF($D$6="1nm spectral data",1,5)*(ROW()-ROW($AH$12)))</f>
        <v/>
      </c>
      <c r="AI268" s="49"/>
      <c r="AJ268" s="72" t="str">
        <f t="shared" si="14"/>
        <v/>
      </c>
    </row>
    <row r="269" spans="34:36">
      <c r="AH269" s="2" t="str">
        <f t="shared" si="15"/>
        <v/>
      </c>
      <c r="AI269" s="49"/>
      <c r="AJ269" s="72" t="str">
        <f t="shared" si="14"/>
        <v/>
      </c>
    </row>
    <row r="270" spans="34:36">
      <c r="AH270" s="2" t="str">
        <f t="shared" si="15"/>
        <v/>
      </c>
      <c r="AI270" s="49"/>
      <c r="AJ270" s="72" t="str">
        <f t="shared" ref="AJ270:AJ333" si="16">IF(AND($D$6="1nm spectral data",$AH270&lt;&gt;""),IF($AH270/5=INT($AH270/5),SUM($AI268:$AI272),""),"")</f>
        <v/>
      </c>
    </row>
    <row r="271" spans="34:36">
      <c r="AH271" s="2" t="str">
        <f t="shared" si="15"/>
        <v/>
      </c>
      <c r="AI271" s="49"/>
      <c r="AJ271" s="72" t="str">
        <f t="shared" si="16"/>
        <v/>
      </c>
    </row>
    <row r="272" spans="34:36">
      <c r="AH272" s="2" t="str">
        <f t="shared" si="15"/>
        <v/>
      </c>
      <c r="AI272" s="49"/>
      <c r="AJ272" s="72" t="str">
        <f t="shared" si="16"/>
        <v/>
      </c>
    </row>
    <row r="273" spans="34:36">
      <c r="AH273" s="2" t="str">
        <f t="shared" si="15"/>
        <v/>
      </c>
      <c r="AI273" s="49"/>
      <c r="AJ273" s="72" t="str">
        <f t="shared" si="16"/>
        <v/>
      </c>
    </row>
    <row r="274" spans="34:36">
      <c r="AH274" s="2" t="str">
        <f t="shared" si="15"/>
        <v/>
      </c>
      <c r="AI274" s="49"/>
      <c r="AJ274" s="72" t="str">
        <f t="shared" si="16"/>
        <v/>
      </c>
    </row>
    <row r="275" spans="34:36">
      <c r="AH275" s="2" t="str">
        <f t="shared" si="15"/>
        <v/>
      </c>
      <c r="AI275" s="49"/>
      <c r="AJ275" s="72" t="str">
        <f t="shared" si="16"/>
        <v/>
      </c>
    </row>
    <row r="276" spans="34:36">
      <c r="AH276" s="2" t="str">
        <f t="shared" si="15"/>
        <v/>
      </c>
      <c r="AI276" s="49"/>
      <c r="AJ276" s="72" t="str">
        <f t="shared" si="16"/>
        <v/>
      </c>
    </row>
    <row r="277" spans="34:36">
      <c r="AH277" s="2" t="str">
        <f t="shared" si="15"/>
        <v/>
      </c>
      <c r="AI277" s="49"/>
      <c r="AJ277" s="72" t="str">
        <f t="shared" si="16"/>
        <v/>
      </c>
    </row>
    <row r="278" spans="34:36">
      <c r="AH278" s="2" t="str">
        <f t="shared" si="15"/>
        <v/>
      </c>
      <c r="AI278" s="49"/>
      <c r="AJ278" s="72" t="str">
        <f t="shared" si="16"/>
        <v/>
      </c>
    </row>
    <row r="279" spans="34:36">
      <c r="AH279" s="2" t="str">
        <f t="shared" si="15"/>
        <v/>
      </c>
      <c r="AI279" s="49"/>
      <c r="AJ279" s="72" t="str">
        <f t="shared" si="16"/>
        <v/>
      </c>
    </row>
    <row r="280" spans="34:36">
      <c r="AH280" s="2" t="str">
        <f t="shared" si="15"/>
        <v/>
      </c>
      <c r="AI280" s="49"/>
      <c r="AJ280" s="72" t="str">
        <f t="shared" si="16"/>
        <v/>
      </c>
    </row>
    <row r="281" spans="34:36">
      <c r="AH281" s="2" t="str">
        <f t="shared" si="15"/>
        <v/>
      </c>
      <c r="AI281" s="49"/>
      <c r="AJ281" s="72" t="str">
        <f t="shared" si="16"/>
        <v/>
      </c>
    </row>
    <row r="282" spans="34:36">
      <c r="AH282" s="2" t="str">
        <f t="shared" si="15"/>
        <v/>
      </c>
      <c r="AI282" s="49"/>
      <c r="AJ282" s="72" t="str">
        <f t="shared" si="16"/>
        <v/>
      </c>
    </row>
    <row r="283" spans="34:36">
      <c r="AH283" s="2" t="str">
        <f t="shared" si="15"/>
        <v/>
      </c>
      <c r="AI283" s="49"/>
      <c r="AJ283" s="72" t="str">
        <f t="shared" si="16"/>
        <v/>
      </c>
    </row>
    <row r="284" spans="34:36">
      <c r="AH284" s="2" t="str">
        <f t="shared" si="15"/>
        <v/>
      </c>
      <c r="AI284" s="49"/>
      <c r="AJ284" s="72" t="str">
        <f t="shared" si="16"/>
        <v/>
      </c>
    </row>
    <row r="285" spans="34:36">
      <c r="AH285" s="2" t="str">
        <f t="shared" si="15"/>
        <v/>
      </c>
      <c r="AI285" s="49"/>
      <c r="AJ285" s="72" t="str">
        <f t="shared" si="16"/>
        <v/>
      </c>
    </row>
    <row r="286" spans="34:36">
      <c r="AH286" s="2" t="str">
        <f t="shared" si="15"/>
        <v/>
      </c>
      <c r="AI286" s="49"/>
      <c r="AJ286" s="72" t="str">
        <f t="shared" si="16"/>
        <v/>
      </c>
    </row>
    <row r="287" spans="34:36">
      <c r="AH287" s="2" t="str">
        <f t="shared" si="15"/>
        <v/>
      </c>
      <c r="AI287" s="49"/>
      <c r="AJ287" s="72" t="str">
        <f t="shared" si="16"/>
        <v/>
      </c>
    </row>
    <row r="288" spans="34:36">
      <c r="AH288" s="2" t="str">
        <f t="shared" si="15"/>
        <v/>
      </c>
      <c r="AI288" s="49"/>
      <c r="AJ288" s="72" t="str">
        <f t="shared" si="16"/>
        <v/>
      </c>
    </row>
    <row r="289" spans="34:36">
      <c r="AH289" s="2" t="str">
        <f t="shared" si="15"/>
        <v/>
      </c>
      <c r="AI289" s="49"/>
      <c r="AJ289" s="72" t="str">
        <f t="shared" si="16"/>
        <v/>
      </c>
    </row>
    <row r="290" spans="34:36">
      <c r="AH290" s="2" t="str">
        <f t="shared" si="15"/>
        <v/>
      </c>
      <c r="AI290" s="49"/>
      <c r="AJ290" s="72" t="str">
        <f t="shared" si="16"/>
        <v/>
      </c>
    </row>
    <row r="291" spans="34:36">
      <c r="AH291" s="2" t="str">
        <f t="shared" si="15"/>
        <v/>
      </c>
      <c r="AI291" s="49"/>
      <c r="AJ291" s="72" t="str">
        <f t="shared" si="16"/>
        <v/>
      </c>
    </row>
    <row r="292" spans="34:36">
      <c r="AH292" s="2" t="str">
        <f t="shared" si="15"/>
        <v/>
      </c>
      <c r="AI292" s="49"/>
      <c r="AJ292" s="72" t="str">
        <f t="shared" si="16"/>
        <v/>
      </c>
    </row>
    <row r="293" spans="34:36">
      <c r="AH293" s="2" t="str">
        <f t="shared" si="15"/>
        <v/>
      </c>
      <c r="AI293" s="49"/>
      <c r="AJ293" s="72" t="str">
        <f t="shared" si="16"/>
        <v/>
      </c>
    </row>
    <row r="294" spans="34:36">
      <c r="AH294" s="2" t="str">
        <f t="shared" si="15"/>
        <v/>
      </c>
      <c r="AI294" s="49"/>
      <c r="AJ294" s="72" t="str">
        <f t="shared" si="16"/>
        <v/>
      </c>
    </row>
    <row r="295" spans="34:36">
      <c r="AH295" s="2" t="str">
        <f t="shared" si="15"/>
        <v/>
      </c>
      <c r="AI295" s="49"/>
      <c r="AJ295" s="72" t="str">
        <f t="shared" si="16"/>
        <v/>
      </c>
    </row>
    <row r="296" spans="34:36">
      <c r="AH296" s="2" t="str">
        <f t="shared" si="15"/>
        <v/>
      </c>
      <c r="AI296" s="49"/>
      <c r="AJ296" s="72" t="str">
        <f t="shared" si="16"/>
        <v/>
      </c>
    </row>
    <row r="297" spans="34:36">
      <c r="AH297" s="2" t="str">
        <f t="shared" si="15"/>
        <v/>
      </c>
      <c r="AI297" s="49"/>
      <c r="AJ297" s="72" t="str">
        <f t="shared" si="16"/>
        <v/>
      </c>
    </row>
    <row r="298" spans="34:36">
      <c r="AH298" s="2" t="str">
        <f t="shared" si="15"/>
        <v/>
      </c>
      <c r="AI298" s="49"/>
      <c r="AJ298" s="72" t="str">
        <f t="shared" si="16"/>
        <v/>
      </c>
    </row>
    <row r="299" spans="34:36">
      <c r="AH299" s="2" t="str">
        <f t="shared" si="15"/>
        <v/>
      </c>
      <c r="AI299" s="49"/>
      <c r="AJ299" s="72" t="str">
        <f t="shared" si="16"/>
        <v/>
      </c>
    </row>
    <row r="300" spans="34:36">
      <c r="AH300" s="2" t="str">
        <f t="shared" si="15"/>
        <v/>
      </c>
      <c r="AI300" s="49"/>
      <c r="AJ300" s="72" t="str">
        <f t="shared" si="16"/>
        <v/>
      </c>
    </row>
    <row r="301" spans="34:36">
      <c r="AH301" s="2" t="str">
        <f t="shared" si="15"/>
        <v/>
      </c>
      <c r="AI301" s="49"/>
      <c r="AJ301" s="72" t="str">
        <f t="shared" si="16"/>
        <v/>
      </c>
    </row>
    <row r="302" spans="34:36">
      <c r="AH302" s="2" t="str">
        <f t="shared" si="15"/>
        <v/>
      </c>
      <c r="AI302" s="49"/>
      <c r="AJ302" s="72" t="str">
        <f t="shared" si="16"/>
        <v/>
      </c>
    </row>
    <row r="303" spans="34:36">
      <c r="AH303" s="2" t="str">
        <f t="shared" si="15"/>
        <v/>
      </c>
      <c r="AI303" s="49"/>
      <c r="AJ303" s="72" t="str">
        <f t="shared" si="16"/>
        <v/>
      </c>
    </row>
    <row r="304" spans="34:36">
      <c r="AH304" s="2" t="str">
        <f t="shared" si="15"/>
        <v/>
      </c>
      <c r="AI304" s="49"/>
      <c r="AJ304" s="72" t="str">
        <f t="shared" si="16"/>
        <v/>
      </c>
    </row>
    <row r="305" spans="34:36">
      <c r="AH305" s="2" t="str">
        <f t="shared" si="15"/>
        <v/>
      </c>
      <c r="AI305" s="49"/>
      <c r="AJ305" s="72" t="str">
        <f t="shared" si="16"/>
        <v/>
      </c>
    </row>
    <row r="306" spans="34:36">
      <c r="AH306" s="2" t="str">
        <f t="shared" si="15"/>
        <v/>
      </c>
      <c r="AI306" s="49"/>
      <c r="AJ306" s="72" t="str">
        <f t="shared" si="16"/>
        <v/>
      </c>
    </row>
    <row r="307" spans="34:36">
      <c r="AH307" s="2" t="str">
        <f t="shared" si="15"/>
        <v/>
      </c>
      <c r="AI307" s="49"/>
      <c r="AJ307" s="72" t="str">
        <f t="shared" si="16"/>
        <v/>
      </c>
    </row>
    <row r="308" spans="34:36">
      <c r="AH308" s="2" t="str">
        <f t="shared" si="15"/>
        <v/>
      </c>
      <c r="AI308" s="49"/>
      <c r="AJ308" s="72" t="str">
        <f t="shared" si="16"/>
        <v/>
      </c>
    </row>
    <row r="309" spans="34:36">
      <c r="AH309" s="2" t="str">
        <f t="shared" si="15"/>
        <v/>
      </c>
      <c r="AI309" s="49"/>
      <c r="AJ309" s="72" t="str">
        <f t="shared" si="16"/>
        <v/>
      </c>
    </row>
    <row r="310" spans="34:36">
      <c r="AH310" s="2" t="str">
        <f t="shared" si="15"/>
        <v/>
      </c>
      <c r="AI310" s="49"/>
      <c r="AJ310" s="72" t="str">
        <f t="shared" si="16"/>
        <v/>
      </c>
    </row>
    <row r="311" spans="34:36">
      <c r="AH311" s="2" t="str">
        <f t="shared" si="15"/>
        <v/>
      </c>
      <c r="AI311" s="49"/>
      <c r="AJ311" s="72" t="str">
        <f t="shared" si="16"/>
        <v/>
      </c>
    </row>
    <row r="312" spans="34:36">
      <c r="AH312" s="2" t="str">
        <f t="shared" si="15"/>
        <v/>
      </c>
      <c r="AI312" s="49"/>
      <c r="AJ312" s="72" t="str">
        <f t="shared" si="16"/>
        <v/>
      </c>
    </row>
    <row r="313" spans="34:36">
      <c r="AH313" s="2" t="str">
        <f t="shared" si="15"/>
        <v/>
      </c>
      <c r="AI313" s="49"/>
      <c r="AJ313" s="72" t="str">
        <f t="shared" si="16"/>
        <v/>
      </c>
    </row>
    <row r="314" spans="34:36">
      <c r="AH314" s="2" t="str">
        <f t="shared" si="15"/>
        <v/>
      </c>
      <c r="AI314" s="49"/>
      <c r="AJ314" s="72" t="str">
        <f t="shared" si="16"/>
        <v/>
      </c>
    </row>
    <row r="315" spans="34:36">
      <c r="AH315" s="2" t="str">
        <f t="shared" si="15"/>
        <v/>
      </c>
      <c r="AI315" s="49"/>
      <c r="AJ315" s="72" t="str">
        <f t="shared" si="16"/>
        <v/>
      </c>
    </row>
    <row r="316" spans="34:36">
      <c r="AH316" s="2" t="str">
        <f t="shared" si="15"/>
        <v/>
      </c>
      <c r="AI316" s="49"/>
      <c r="AJ316" s="72" t="str">
        <f t="shared" si="16"/>
        <v/>
      </c>
    </row>
    <row r="317" spans="34:36">
      <c r="AH317" s="2" t="str">
        <f t="shared" si="15"/>
        <v/>
      </c>
      <c r="AI317" s="49"/>
      <c r="AJ317" s="72" t="str">
        <f t="shared" si="16"/>
        <v/>
      </c>
    </row>
    <row r="318" spans="34:36">
      <c r="AH318" s="2" t="str">
        <f t="shared" si="15"/>
        <v/>
      </c>
      <c r="AI318" s="49"/>
      <c r="AJ318" s="72" t="str">
        <f t="shared" si="16"/>
        <v/>
      </c>
    </row>
    <row r="319" spans="34:36">
      <c r="AH319" s="2" t="str">
        <f t="shared" si="15"/>
        <v/>
      </c>
      <c r="AI319" s="49"/>
      <c r="AJ319" s="72" t="str">
        <f t="shared" si="16"/>
        <v/>
      </c>
    </row>
    <row r="320" spans="34:36">
      <c r="AH320" s="2" t="str">
        <f t="shared" si="15"/>
        <v/>
      </c>
      <c r="AI320" s="49"/>
      <c r="AJ320" s="72" t="str">
        <f t="shared" si="16"/>
        <v/>
      </c>
    </row>
    <row r="321" spans="34:36">
      <c r="AH321" s="2" t="str">
        <f t="shared" si="15"/>
        <v/>
      </c>
      <c r="AI321" s="49"/>
      <c r="AJ321" s="72" t="str">
        <f t="shared" si="16"/>
        <v/>
      </c>
    </row>
    <row r="322" spans="34:36">
      <c r="AH322" s="2" t="str">
        <f t="shared" si="15"/>
        <v/>
      </c>
      <c r="AI322" s="49"/>
      <c r="AJ322" s="72" t="str">
        <f t="shared" si="16"/>
        <v/>
      </c>
    </row>
    <row r="323" spans="34:36">
      <c r="AH323" s="2" t="str">
        <f t="shared" si="15"/>
        <v/>
      </c>
      <c r="AI323" s="49"/>
      <c r="AJ323" s="72" t="str">
        <f t="shared" si="16"/>
        <v/>
      </c>
    </row>
    <row r="324" spans="34:36">
      <c r="AH324" s="2" t="str">
        <f t="shared" si="15"/>
        <v/>
      </c>
      <c r="AI324" s="49"/>
      <c r="AJ324" s="72" t="str">
        <f t="shared" si="16"/>
        <v/>
      </c>
    </row>
    <row r="325" spans="34:36">
      <c r="AH325" s="2" t="str">
        <f t="shared" si="15"/>
        <v/>
      </c>
      <c r="AI325" s="49"/>
      <c r="AJ325" s="72" t="str">
        <f t="shared" si="16"/>
        <v/>
      </c>
    </row>
    <row r="326" spans="34:36">
      <c r="AH326" s="2" t="str">
        <f t="shared" si="15"/>
        <v/>
      </c>
      <c r="AI326" s="49"/>
      <c r="AJ326" s="72" t="str">
        <f t="shared" si="16"/>
        <v/>
      </c>
    </row>
    <row r="327" spans="34:36">
      <c r="AH327" s="2" t="str">
        <f t="shared" si="15"/>
        <v/>
      </c>
      <c r="AI327" s="49"/>
      <c r="AJ327" s="72" t="str">
        <f t="shared" si="16"/>
        <v/>
      </c>
    </row>
    <row r="328" spans="34:36">
      <c r="AH328" s="2" t="str">
        <f t="shared" si="15"/>
        <v/>
      </c>
      <c r="AI328" s="49"/>
      <c r="AJ328" s="72" t="str">
        <f t="shared" si="16"/>
        <v/>
      </c>
    </row>
    <row r="329" spans="34:36">
      <c r="AH329" s="2" t="str">
        <f t="shared" si="15"/>
        <v/>
      </c>
      <c r="AI329" s="49"/>
      <c r="AJ329" s="72" t="str">
        <f t="shared" si="16"/>
        <v/>
      </c>
    </row>
    <row r="330" spans="34:36">
      <c r="AH330" s="2" t="str">
        <f t="shared" si="15"/>
        <v/>
      </c>
      <c r="AI330" s="49"/>
      <c r="AJ330" s="72" t="str">
        <f t="shared" si="16"/>
        <v/>
      </c>
    </row>
    <row r="331" spans="34:36">
      <c r="AH331" s="2" t="str">
        <f t="shared" si="15"/>
        <v/>
      </c>
      <c r="AI331" s="49"/>
      <c r="AJ331" s="72" t="str">
        <f t="shared" si="16"/>
        <v/>
      </c>
    </row>
    <row r="332" spans="34:36">
      <c r="AH332" s="2" t="str">
        <f t="shared" ref="AH332:AH395" si="17">IF(ROW()&gt;IF($D$6="1nm spectral data",496,108),"",IF($D$6="1nm spectral data",298,300)+IF($D$6="1nm spectral data",1,5)*(ROW()-ROW($AH$12)))</f>
        <v/>
      </c>
      <c r="AI332" s="49"/>
      <c r="AJ332" s="72" t="str">
        <f t="shared" si="16"/>
        <v/>
      </c>
    </row>
    <row r="333" spans="34:36">
      <c r="AH333" s="2" t="str">
        <f t="shared" si="17"/>
        <v/>
      </c>
      <c r="AI333" s="49"/>
      <c r="AJ333" s="72" t="str">
        <f t="shared" si="16"/>
        <v/>
      </c>
    </row>
    <row r="334" spans="34:36">
      <c r="AH334" s="2" t="str">
        <f t="shared" si="17"/>
        <v/>
      </c>
      <c r="AI334" s="49"/>
      <c r="AJ334" s="72" t="str">
        <f t="shared" ref="AJ334:AJ397" si="18">IF(AND($D$6="1nm spectral data",$AH334&lt;&gt;""),IF($AH334/5=INT($AH334/5),SUM($AI332:$AI336),""),"")</f>
        <v/>
      </c>
    </row>
    <row r="335" spans="34:36">
      <c r="AH335" s="2" t="str">
        <f t="shared" si="17"/>
        <v/>
      </c>
      <c r="AI335" s="49"/>
      <c r="AJ335" s="72" t="str">
        <f t="shared" si="18"/>
        <v/>
      </c>
    </row>
    <row r="336" spans="34:36">
      <c r="AH336" s="2" t="str">
        <f t="shared" si="17"/>
        <v/>
      </c>
      <c r="AI336" s="49"/>
      <c r="AJ336" s="72" t="str">
        <f t="shared" si="18"/>
        <v/>
      </c>
    </row>
    <row r="337" spans="34:36">
      <c r="AH337" s="2" t="str">
        <f t="shared" si="17"/>
        <v/>
      </c>
      <c r="AI337" s="49"/>
      <c r="AJ337" s="72" t="str">
        <f t="shared" si="18"/>
        <v/>
      </c>
    </row>
    <row r="338" spans="34:36">
      <c r="AH338" s="2" t="str">
        <f t="shared" si="17"/>
        <v/>
      </c>
      <c r="AI338" s="49"/>
      <c r="AJ338" s="72" t="str">
        <f t="shared" si="18"/>
        <v/>
      </c>
    </row>
    <row r="339" spans="34:36">
      <c r="AH339" s="2" t="str">
        <f t="shared" si="17"/>
        <v/>
      </c>
      <c r="AI339" s="49"/>
      <c r="AJ339" s="72" t="str">
        <f t="shared" si="18"/>
        <v/>
      </c>
    </row>
    <row r="340" spans="34:36">
      <c r="AH340" s="2" t="str">
        <f t="shared" si="17"/>
        <v/>
      </c>
      <c r="AI340" s="49"/>
      <c r="AJ340" s="72" t="str">
        <f t="shared" si="18"/>
        <v/>
      </c>
    </row>
    <row r="341" spans="34:36">
      <c r="AH341" s="2" t="str">
        <f t="shared" si="17"/>
        <v/>
      </c>
      <c r="AI341" s="49"/>
      <c r="AJ341" s="72" t="str">
        <f t="shared" si="18"/>
        <v/>
      </c>
    </row>
    <row r="342" spans="34:36">
      <c r="AH342" s="2" t="str">
        <f t="shared" si="17"/>
        <v/>
      </c>
      <c r="AI342" s="49"/>
      <c r="AJ342" s="72" t="str">
        <f t="shared" si="18"/>
        <v/>
      </c>
    </row>
    <row r="343" spans="34:36">
      <c r="AH343" s="2" t="str">
        <f t="shared" si="17"/>
        <v/>
      </c>
      <c r="AI343" s="49"/>
      <c r="AJ343" s="72" t="str">
        <f t="shared" si="18"/>
        <v/>
      </c>
    </row>
    <row r="344" spans="34:36">
      <c r="AH344" s="2" t="str">
        <f t="shared" si="17"/>
        <v/>
      </c>
      <c r="AI344" s="49"/>
      <c r="AJ344" s="72" t="str">
        <f t="shared" si="18"/>
        <v/>
      </c>
    </row>
    <row r="345" spans="34:36">
      <c r="AH345" s="2" t="str">
        <f t="shared" si="17"/>
        <v/>
      </c>
      <c r="AI345" s="49"/>
      <c r="AJ345" s="72" t="str">
        <f t="shared" si="18"/>
        <v/>
      </c>
    </row>
    <row r="346" spans="34:36">
      <c r="AH346" s="2" t="str">
        <f t="shared" si="17"/>
        <v/>
      </c>
      <c r="AI346" s="49"/>
      <c r="AJ346" s="72" t="str">
        <f t="shared" si="18"/>
        <v/>
      </c>
    </row>
    <row r="347" spans="34:36">
      <c r="AH347" s="2" t="str">
        <f t="shared" si="17"/>
        <v/>
      </c>
      <c r="AI347" s="49"/>
      <c r="AJ347" s="72" t="str">
        <f t="shared" si="18"/>
        <v/>
      </c>
    </row>
    <row r="348" spans="34:36">
      <c r="AH348" s="2" t="str">
        <f t="shared" si="17"/>
        <v/>
      </c>
      <c r="AI348" s="49"/>
      <c r="AJ348" s="72" t="str">
        <f t="shared" si="18"/>
        <v/>
      </c>
    </row>
    <row r="349" spans="34:36">
      <c r="AH349" s="2" t="str">
        <f t="shared" si="17"/>
        <v/>
      </c>
      <c r="AI349" s="49"/>
      <c r="AJ349" s="72" t="str">
        <f t="shared" si="18"/>
        <v/>
      </c>
    </row>
    <row r="350" spans="34:36">
      <c r="AH350" s="2" t="str">
        <f t="shared" si="17"/>
        <v/>
      </c>
      <c r="AI350" s="49"/>
      <c r="AJ350" s="72" t="str">
        <f t="shared" si="18"/>
        <v/>
      </c>
    </row>
    <row r="351" spans="34:36">
      <c r="AH351" s="2" t="str">
        <f t="shared" si="17"/>
        <v/>
      </c>
      <c r="AI351" s="49"/>
      <c r="AJ351" s="72" t="str">
        <f t="shared" si="18"/>
        <v/>
      </c>
    </row>
    <row r="352" spans="34:36">
      <c r="AH352" s="2" t="str">
        <f t="shared" si="17"/>
        <v/>
      </c>
      <c r="AI352" s="49"/>
      <c r="AJ352" s="72" t="str">
        <f t="shared" si="18"/>
        <v/>
      </c>
    </row>
    <row r="353" spans="34:36">
      <c r="AH353" s="2" t="str">
        <f t="shared" si="17"/>
        <v/>
      </c>
      <c r="AI353" s="49"/>
      <c r="AJ353" s="72" t="str">
        <f t="shared" si="18"/>
        <v/>
      </c>
    </row>
    <row r="354" spans="34:36">
      <c r="AH354" s="2" t="str">
        <f t="shared" si="17"/>
        <v/>
      </c>
      <c r="AI354" s="49"/>
      <c r="AJ354" s="72" t="str">
        <f t="shared" si="18"/>
        <v/>
      </c>
    </row>
    <row r="355" spans="34:36">
      <c r="AH355" s="2" t="str">
        <f t="shared" si="17"/>
        <v/>
      </c>
      <c r="AI355" s="49"/>
      <c r="AJ355" s="72" t="str">
        <f t="shared" si="18"/>
        <v/>
      </c>
    </row>
    <row r="356" spans="34:36">
      <c r="AH356" s="2" t="str">
        <f t="shared" si="17"/>
        <v/>
      </c>
      <c r="AI356" s="49"/>
      <c r="AJ356" s="72" t="str">
        <f t="shared" si="18"/>
        <v/>
      </c>
    </row>
    <row r="357" spans="34:36">
      <c r="AH357" s="2" t="str">
        <f t="shared" si="17"/>
        <v/>
      </c>
      <c r="AI357" s="49"/>
      <c r="AJ357" s="72" t="str">
        <f t="shared" si="18"/>
        <v/>
      </c>
    </row>
    <row r="358" spans="34:36">
      <c r="AH358" s="2" t="str">
        <f t="shared" si="17"/>
        <v/>
      </c>
      <c r="AI358" s="49"/>
      <c r="AJ358" s="72" t="str">
        <f t="shared" si="18"/>
        <v/>
      </c>
    </row>
    <row r="359" spans="34:36">
      <c r="AH359" s="2" t="str">
        <f t="shared" si="17"/>
        <v/>
      </c>
      <c r="AI359" s="49"/>
      <c r="AJ359" s="72" t="str">
        <f t="shared" si="18"/>
        <v/>
      </c>
    </row>
    <row r="360" spans="34:36">
      <c r="AH360" s="2" t="str">
        <f t="shared" si="17"/>
        <v/>
      </c>
      <c r="AI360" s="49"/>
      <c r="AJ360" s="72" t="str">
        <f t="shared" si="18"/>
        <v/>
      </c>
    </row>
    <row r="361" spans="34:36">
      <c r="AH361" s="2" t="str">
        <f t="shared" si="17"/>
        <v/>
      </c>
      <c r="AI361" s="49"/>
      <c r="AJ361" s="72" t="str">
        <f t="shared" si="18"/>
        <v/>
      </c>
    </row>
    <row r="362" spans="34:36">
      <c r="AH362" s="2" t="str">
        <f t="shared" si="17"/>
        <v/>
      </c>
      <c r="AI362" s="49"/>
      <c r="AJ362" s="72" t="str">
        <f t="shared" si="18"/>
        <v/>
      </c>
    </row>
    <row r="363" spans="34:36">
      <c r="AH363" s="2" t="str">
        <f t="shared" si="17"/>
        <v/>
      </c>
      <c r="AI363" s="49"/>
      <c r="AJ363" s="72" t="str">
        <f t="shared" si="18"/>
        <v/>
      </c>
    </row>
    <row r="364" spans="34:36">
      <c r="AH364" s="2" t="str">
        <f t="shared" si="17"/>
        <v/>
      </c>
      <c r="AI364" s="49"/>
      <c r="AJ364" s="72" t="str">
        <f t="shared" si="18"/>
        <v/>
      </c>
    </row>
    <row r="365" spans="34:36">
      <c r="AH365" s="2" t="str">
        <f t="shared" si="17"/>
        <v/>
      </c>
      <c r="AI365" s="49"/>
      <c r="AJ365" s="72" t="str">
        <f t="shared" si="18"/>
        <v/>
      </c>
    </row>
    <row r="366" spans="34:36">
      <c r="AH366" s="2" t="str">
        <f t="shared" si="17"/>
        <v/>
      </c>
      <c r="AI366" s="49"/>
      <c r="AJ366" s="72" t="str">
        <f t="shared" si="18"/>
        <v/>
      </c>
    </row>
    <row r="367" spans="34:36">
      <c r="AH367" s="2" t="str">
        <f t="shared" si="17"/>
        <v/>
      </c>
      <c r="AI367" s="49"/>
      <c r="AJ367" s="72" t="str">
        <f t="shared" si="18"/>
        <v/>
      </c>
    </row>
    <row r="368" spans="34:36">
      <c r="AH368" s="2" t="str">
        <f t="shared" si="17"/>
        <v/>
      </c>
      <c r="AI368" s="49"/>
      <c r="AJ368" s="72" t="str">
        <f t="shared" si="18"/>
        <v/>
      </c>
    </row>
    <row r="369" spans="34:36">
      <c r="AH369" s="2" t="str">
        <f t="shared" si="17"/>
        <v/>
      </c>
      <c r="AI369" s="49"/>
      <c r="AJ369" s="72" t="str">
        <f t="shared" si="18"/>
        <v/>
      </c>
    </row>
    <row r="370" spans="34:36">
      <c r="AH370" s="2" t="str">
        <f t="shared" si="17"/>
        <v/>
      </c>
      <c r="AI370" s="49"/>
      <c r="AJ370" s="72" t="str">
        <f t="shared" si="18"/>
        <v/>
      </c>
    </row>
    <row r="371" spans="34:36">
      <c r="AH371" s="2" t="str">
        <f t="shared" si="17"/>
        <v/>
      </c>
      <c r="AI371" s="49"/>
      <c r="AJ371" s="72" t="str">
        <f t="shared" si="18"/>
        <v/>
      </c>
    </row>
    <row r="372" spans="34:36">
      <c r="AH372" s="2" t="str">
        <f t="shared" si="17"/>
        <v/>
      </c>
      <c r="AI372" s="49"/>
      <c r="AJ372" s="72" t="str">
        <f t="shared" si="18"/>
        <v/>
      </c>
    </row>
    <row r="373" spans="34:36">
      <c r="AH373" s="2" t="str">
        <f t="shared" si="17"/>
        <v/>
      </c>
      <c r="AI373" s="49"/>
      <c r="AJ373" s="72" t="str">
        <f t="shared" si="18"/>
        <v/>
      </c>
    </row>
    <row r="374" spans="34:36">
      <c r="AH374" s="2" t="str">
        <f t="shared" si="17"/>
        <v/>
      </c>
      <c r="AI374" s="49"/>
      <c r="AJ374" s="72" t="str">
        <f t="shared" si="18"/>
        <v/>
      </c>
    </row>
    <row r="375" spans="34:36">
      <c r="AH375" s="2" t="str">
        <f t="shared" si="17"/>
        <v/>
      </c>
      <c r="AI375" s="49"/>
      <c r="AJ375" s="72" t="str">
        <f t="shared" si="18"/>
        <v/>
      </c>
    </row>
    <row r="376" spans="34:36">
      <c r="AH376" s="2" t="str">
        <f t="shared" si="17"/>
        <v/>
      </c>
      <c r="AI376" s="49"/>
      <c r="AJ376" s="72" t="str">
        <f t="shared" si="18"/>
        <v/>
      </c>
    </row>
    <row r="377" spans="34:36">
      <c r="AH377" s="2" t="str">
        <f t="shared" si="17"/>
        <v/>
      </c>
      <c r="AI377" s="49"/>
      <c r="AJ377" s="72" t="str">
        <f t="shared" si="18"/>
        <v/>
      </c>
    </row>
    <row r="378" spans="34:36">
      <c r="AH378" s="2" t="str">
        <f t="shared" si="17"/>
        <v/>
      </c>
      <c r="AI378" s="49"/>
      <c r="AJ378" s="72" t="str">
        <f t="shared" si="18"/>
        <v/>
      </c>
    </row>
    <row r="379" spans="34:36">
      <c r="AH379" s="2" t="str">
        <f t="shared" si="17"/>
        <v/>
      </c>
      <c r="AI379" s="49"/>
      <c r="AJ379" s="72" t="str">
        <f t="shared" si="18"/>
        <v/>
      </c>
    </row>
    <row r="380" spans="34:36">
      <c r="AH380" s="2" t="str">
        <f t="shared" si="17"/>
        <v/>
      </c>
      <c r="AI380" s="49"/>
      <c r="AJ380" s="72" t="str">
        <f t="shared" si="18"/>
        <v/>
      </c>
    </row>
    <row r="381" spans="34:36">
      <c r="AH381" s="2" t="str">
        <f t="shared" si="17"/>
        <v/>
      </c>
      <c r="AI381" s="49"/>
      <c r="AJ381" s="72" t="str">
        <f t="shared" si="18"/>
        <v/>
      </c>
    </row>
    <row r="382" spans="34:36">
      <c r="AH382" s="2" t="str">
        <f t="shared" si="17"/>
        <v/>
      </c>
      <c r="AI382" s="49"/>
      <c r="AJ382" s="72" t="str">
        <f t="shared" si="18"/>
        <v/>
      </c>
    </row>
    <row r="383" spans="34:36">
      <c r="AH383" s="2" t="str">
        <f t="shared" si="17"/>
        <v/>
      </c>
      <c r="AI383" s="49"/>
      <c r="AJ383" s="72" t="str">
        <f t="shared" si="18"/>
        <v/>
      </c>
    </row>
    <row r="384" spans="34:36">
      <c r="AH384" s="2" t="str">
        <f t="shared" si="17"/>
        <v/>
      </c>
      <c r="AI384" s="49"/>
      <c r="AJ384" s="72" t="str">
        <f t="shared" si="18"/>
        <v/>
      </c>
    </row>
    <row r="385" spans="34:36">
      <c r="AH385" s="2" t="str">
        <f t="shared" si="17"/>
        <v/>
      </c>
      <c r="AI385" s="49"/>
      <c r="AJ385" s="72" t="str">
        <f t="shared" si="18"/>
        <v/>
      </c>
    </row>
    <row r="386" spans="34:36">
      <c r="AH386" s="2" t="str">
        <f t="shared" si="17"/>
        <v/>
      </c>
      <c r="AI386" s="49"/>
      <c r="AJ386" s="72" t="str">
        <f t="shared" si="18"/>
        <v/>
      </c>
    </row>
    <row r="387" spans="34:36">
      <c r="AH387" s="2" t="str">
        <f t="shared" si="17"/>
        <v/>
      </c>
      <c r="AI387" s="49"/>
      <c r="AJ387" s="72" t="str">
        <f t="shared" si="18"/>
        <v/>
      </c>
    </row>
    <row r="388" spans="34:36">
      <c r="AH388" s="2" t="str">
        <f t="shared" si="17"/>
        <v/>
      </c>
      <c r="AI388" s="49"/>
      <c r="AJ388" s="72" t="str">
        <f t="shared" si="18"/>
        <v/>
      </c>
    </row>
    <row r="389" spans="34:36">
      <c r="AH389" s="2" t="str">
        <f t="shared" si="17"/>
        <v/>
      </c>
      <c r="AI389" s="49"/>
      <c r="AJ389" s="72" t="str">
        <f t="shared" si="18"/>
        <v/>
      </c>
    </row>
    <row r="390" spans="34:36">
      <c r="AH390" s="2" t="str">
        <f t="shared" si="17"/>
        <v/>
      </c>
      <c r="AI390" s="49"/>
      <c r="AJ390" s="72" t="str">
        <f t="shared" si="18"/>
        <v/>
      </c>
    </row>
    <row r="391" spans="34:36">
      <c r="AH391" s="2" t="str">
        <f t="shared" si="17"/>
        <v/>
      </c>
      <c r="AI391" s="49"/>
      <c r="AJ391" s="72" t="str">
        <f t="shared" si="18"/>
        <v/>
      </c>
    </row>
    <row r="392" spans="34:36">
      <c r="AH392" s="2" t="str">
        <f t="shared" si="17"/>
        <v/>
      </c>
      <c r="AI392" s="49"/>
      <c r="AJ392" s="72" t="str">
        <f t="shared" si="18"/>
        <v/>
      </c>
    </row>
    <row r="393" spans="34:36">
      <c r="AH393" s="2" t="str">
        <f t="shared" si="17"/>
        <v/>
      </c>
      <c r="AI393" s="49"/>
      <c r="AJ393" s="72" t="str">
        <f t="shared" si="18"/>
        <v/>
      </c>
    </row>
    <row r="394" spans="34:36">
      <c r="AH394" s="2" t="str">
        <f t="shared" si="17"/>
        <v/>
      </c>
      <c r="AI394" s="49"/>
      <c r="AJ394" s="72" t="str">
        <f t="shared" si="18"/>
        <v/>
      </c>
    </row>
    <row r="395" spans="34:36">
      <c r="AH395" s="2" t="str">
        <f t="shared" si="17"/>
        <v/>
      </c>
      <c r="AI395" s="49"/>
      <c r="AJ395" s="72" t="str">
        <f t="shared" si="18"/>
        <v/>
      </c>
    </row>
    <row r="396" spans="34:36">
      <c r="AH396" s="2" t="str">
        <f t="shared" ref="AH396:AH459" si="19">IF(ROW()&gt;IF($D$6="1nm spectral data",496,108),"",IF($D$6="1nm spectral data",298,300)+IF($D$6="1nm spectral data",1,5)*(ROW()-ROW($AH$12)))</f>
        <v/>
      </c>
      <c r="AI396" s="49"/>
      <c r="AJ396" s="72" t="str">
        <f t="shared" si="18"/>
        <v/>
      </c>
    </row>
    <row r="397" spans="34:36">
      <c r="AH397" s="2" t="str">
        <f t="shared" si="19"/>
        <v/>
      </c>
      <c r="AI397" s="49"/>
      <c r="AJ397" s="72" t="str">
        <f t="shared" si="18"/>
        <v/>
      </c>
    </row>
    <row r="398" spans="34:36">
      <c r="AH398" s="2" t="str">
        <f t="shared" si="19"/>
        <v/>
      </c>
      <c r="AI398" s="49"/>
      <c r="AJ398" s="72" t="str">
        <f t="shared" ref="AJ398:AJ461" si="20">IF(AND($D$6="1nm spectral data",$AH398&lt;&gt;""),IF($AH398/5=INT($AH398/5),SUM($AI396:$AI400),""),"")</f>
        <v/>
      </c>
    </row>
    <row r="399" spans="34:36">
      <c r="AH399" s="2" t="str">
        <f t="shared" si="19"/>
        <v/>
      </c>
      <c r="AI399" s="49"/>
      <c r="AJ399" s="72" t="str">
        <f t="shared" si="20"/>
        <v/>
      </c>
    </row>
    <row r="400" spans="34:36">
      <c r="AH400" s="2" t="str">
        <f t="shared" si="19"/>
        <v/>
      </c>
      <c r="AI400" s="49"/>
      <c r="AJ400" s="72" t="str">
        <f t="shared" si="20"/>
        <v/>
      </c>
    </row>
    <row r="401" spans="34:36">
      <c r="AH401" s="2" t="str">
        <f t="shared" si="19"/>
        <v/>
      </c>
      <c r="AI401" s="49"/>
      <c r="AJ401" s="72" t="str">
        <f t="shared" si="20"/>
        <v/>
      </c>
    </row>
    <row r="402" spans="34:36">
      <c r="AH402" s="2" t="str">
        <f t="shared" si="19"/>
        <v/>
      </c>
      <c r="AI402" s="49"/>
      <c r="AJ402" s="72" t="str">
        <f t="shared" si="20"/>
        <v/>
      </c>
    </row>
    <row r="403" spans="34:36">
      <c r="AH403" s="2" t="str">
        <f t="shared" si="19"/>
        <v/>
      </c>
      <c r="AI403" s="49"/>
      <c r="AJ403" s="72" t="str">
        <f t="shared" si="20"/>
        <v/>
      </c>
    </row>
    <row r="404" spans="34:36">
      <c r="AH404" s="2" t="str">
        <f t="shared" si="19"/>
        <v/>
      </c>
      <c r="AI404" s="49"/>
      <c r="AJ404" s="72" t="str">
        <f t="shared" si="20"/>
        <v/>
      </c>
    </row>
    <row r="405" spans="34:36">
      <c r="AH405" s="2" t="str">
        <f t="shared" si="19"/>
        <v/>
      </c>
      <c r="AI405" s="49"/>
      <c r="AJ405" s="72" t="str">
        <f t="shared" si="20"/>
        <v/>
      </c>
    </row>
    <row r="406" spans="34:36">
      <c r="AH406" s="2" t="str">
        <f t="shared" si="19"/>
        <v/>
      </c>
      <c r="AI406" s="49"/>
      <c r="AJ406" s="72" t="str">
        <f t="shared" si="20"/>
        <v/>
      </c>
    </row>
    <row r="407" spans="34:36">
      <c r="AH407" s="2" t="str">
        <f t="shared" si="19"/>
        <v/>
      </c>
      <c r="AI407" s="49"/>
      <c r="AJ407" s="72" t="str">
        <f t="shared" si="20"/>
        <v/>
      </c>
    </row>
    <row r="408" spans="34:36">
      <c r="AH408" s="2" t="str">
        <f t="shared" si="19"/>
        <v/>
      </c>
      <c r="AI408" s="49"/>
      <c r="AJ408" s="72" t="str">
        <f t="shared" si="20"/>
        <v/>
      </c>
    </row>
    <row r="409" spans="34:36">
      <c r="AH409" s="2" t="str">
        <f t="shared" si="19"/>
        <v/>
      </c>
      <c r="AI409" s="49"/>
      <c r="AJ409" s="72" t="str">
        <f t="shared" si="20"/>
        <v/>
      </c>
    </row>
    <row r="410" spans="34:36">
      <c r="AH410" s="2" t="str">
        <f t="shared" si="19"/>
        <v/>
      </c>
      <c r="AI410" s="49"/>
      <c r="AJ410" s="72" t="str">
        <f t="shared" si="20"/>
        <v/>
      </c>
    </row>
    <row r="411" spans="34:36">
      <c r="AH411" s="2" t="str">
        <f t="shared" si="19"/>
        <v/>
      </c>
      <c r="AI411" s="49"/>
      <c r="AJ411" s="72" t="str">
        <f t="shared" si="20"/>
        <v/>
      </c>
    </row>
    <row r="412" spans="34:36">
      <c r="AH412" s="2" t="str">
        <f t="shared" si="19"/>
        <v/>
      </c>
      <c r="AI412" s="49"/>
      <c r="AJ412" s="72" t="str">
        <f t="shared" si="20"/>
        <v/>
      </c>
    </row>
    <row r="413" spans="34:36">
      <c r="AH413" s="2" t="str">
        <f t="shared" si="19"/>
        <v/>
      </c>
      <c r="AI413" s="49"/>
      <c r="AJ413" s="72" t="str">
        <f t="shared" si="20"/>
        <v/>
      </c>
    </row>
    <row r="414" spans="34:36">
      <c r="AH414" s="2" t="str">
        <f t="shared" si="19"/>
        <v/>
      </c>
      <c r="AI414" s="49"/>
      <c r="AJ414" s="72" t="str">
        <f t="shared" si="20"/>
        <v/>
      </c>
    </row>
    <row r="415" spans="34:36">
      <c r="AH415" s="2" t="str">
        <f t="shared" si="19"/>
        <v/>
      </c>
      <c r="AI415" s="49"/>
      <c r="AJ415" s="72" t="str">
        <f t="shared" si="20"/>
        <v/>
      </c>
    </row>
    <row r="416" spans="34:36">
      <c r="AH416" s="2" t="str">
        <f t="shared" si="19"/>
        <v/>
      </c>
      <c r="AI416" s="49"/>
      <c r="AJ416" s="72" t="str">
        <f t="shared" si="20"/>
        <v/>
      </c>
    </row>
    <row r="417" spans="34:36">
      <c r="AH417" s="2" t="str">
        <f t="shared" si="19"/>
        <v/>
      </c>
      <c r="AI417" s="49"/>
      <c r="AJ417" s="72" t="str">
        <f t="shared" si="20"/>
        <v/>
      </c>
    </row>
    <row r="418" spans="34:36">
      <c r="AH418" s="2" t="str">
        <f t="shared" si="19"/>
        <v/>
      </c>
      <c r="AI418" s="49"/>
      <c r="AJ418" s="72" t="str">
        <f t="shared" si="20"/>
        <v/>
      </c>
    </row>
    <row r="419" spans="34:36">
      <c r="AH419" s="2" t="str">
        <f t="shared" si="19"/>
        <v/>
      </c>
      <c r="AI419" s="49"/>
      <c r="AJ419" s="72" t="str">
        <f t="shared" si="20"/>
        <v/>
      </c>
    </row>
    <row r="420" spans="34:36">
      <c r="AH420" s="2" t="str">
        <f t="shared" si="19"/>
        <v/>
      </c>
      <c r="AI420" s="49"/>
      <c r="AJ420" s="72" t="str">
        <f t="shared" si="20"/>
        <v/>
      </c>
    </row>
    <row r="421" spans="34:36">
      <c r="AH421" s="2" t="str">
        <f t="shared" si="19"/>
        <v/>
      </c>
      <c r="AI421" s="49"/>
      <c r="AJ421" s="72" t="str">
        <f t="shared" si="20"/>
        <v/>
      </c>
    </row>
    <row r="422" spans="34:36">
      <c r="AH422" s="2" t="str">
        <f t="shared" si="19"/>
        <v/>
      </c>
      <c r="AI422" s="49"/>
      <c r="AJ422" s="72" t="str">
        <f t="shared" si="20"/>
        <v/>
      </c>
    </row>
    <row r="423" spans="34:36">
      <c r="AH423" s="2" t="str">
        <f t="shared" si="19"/>
        <v/>
      </c>
      <c r="AI423" s="49"/>
      <c r="AJ423" s="72" t="str">
        <f t="shared" si="20"/>
        <v/>
      </c>
    </row>
    <row r="424" spans="34:36">
      <c r="AH424" s="2" t="str">
        <f t="shared" si="19"/>
        <v/>
      </c>
      <c r="AI424" s="49"/>
      <c r="AJ424" s="72" t="str">
        <f t="shared" si="20"/>
        <v/>
      </c>
    </row>
    <row r="425" spans="34:36">
      <c r="AH425" s="2" t="str">
        <f t="shared" si="19"/>
        <v/>
      </c>
      <c r="AI425" s="49"/>
      <c r="AJ425" s="72" t="str">
        <f t="shared" si="20"/>
        <v/>
      </c>
    </row>
    <row r="426" spans="34:36">
      <c r="AH426" s="2" t="str">
        <f t="shared" si="19"/>
        <v/>
      </c>
      <c r="AI426" s="49"/>
      <c r="AJ426" s="72" t="str">
        <f t="shared" si="20"/>
        <v/>
      </c>
    </row>
    <row r="427" spans="34:36">
      <c r="AH427" s="2" t="str">
        <f t="shared" si="19"/>
        <v/>
      </c>
      <c r="AI427" s="49"/>
      <c r="AJ427" s="72" t="str">
        <f t="shared" si="20"/>
        <v/>
      </c>
    </row>
    <row r="428" spans="34:36">
      <c r="AH428" s="2" t="str">
        <f t="shared" si="19"/>
        <v/>
      </c>
      <c r="AI428" s="49"/>
      <c r="AJ428" s="72" t="str">
        <f t="shared" si="20"/>
        <v/>
      </c>
    </row>
    <row r="429" spans="34:36">
      <c r="AH429" s="2" t="str">
        <f t="shared" si="19"/>
        <v/>
      </c>
      <c r="AI429" s="49"/>
      <c r="AJ429" s="72" t="str">
        <f t="shared" si="20"/>
        <v/>
      </c>
    </row>
    <row r="430" spans="34:36">
      <c r="AH430" s="2" t="str">
        <f t="shared" si="19"/>
        <v/>
      </c>
      <c r="AI430" s="49"/>
      <c r="AJ430" s="72" t="str">
        <f t="shared" si="20"/>
        <v/>
      </c>
    </row>
    <row r="431" spans="34:36">
      <c r="AH431" s="2" t="str">
        <f t="shared" si="19"/>
        <v/>
      </c>
      <c r="AI431" s="49"/>
      <c r="AJ431" s="72" t="str">
        <f t="shared" si="20"/>
        <v/>
      </c>
    </row>
    <row r="432" spans="34:36">
      <c r="AH432" s="2" t="str">
        <f t="shared" si="19"/>
        <v/>
      </c>
      <c r="AI432" s="49"/>
      <c r="AJ432" s="72" t="str">
        <f t="shared" si="20"/>
        <v/>
      </c>
    </row>
    <row r="433" spans="34:36">
      <c r="AH433" s="2" t="str">
        <f t="shared" si="19"/>
        <v/>
      </c>
      <c r="AI433" s="49"/>
      <c r="AJ433" s="72" t="str">
        <f t="shared" si="20"/>
        <v/>
      </c>
    </row>
    <row r="434" spans="34:36">
      <c r="AH434" s="2" t="str">
        <f t="shared" si="19"/>
        <v/>
      </c>
      <c r="AI434" s="49"/>
      <c r="AJ434" s="72" t="str">
        <f t="shared" si="20"/>
        <v/>
      </c>
    </row>
    <row r="435" spans="34:36">
      <c r="AH435" s="2" t="str">
        <f t="shared" si="19"/>
        <v/>
      </c>
      <c r="AI435" s="49"/>
      <c r="AJ435" s="72" t="str">
        <f t="shared" si="20"/>
        <v/>
      </c>
    </row>
    <row r="436" spans="34:36">
      <c r="AH436" s="2" t="str">
        <f t="shared" si="19"/>
        <v/>
      </c>
      <c r="AI436" s="49"/>
      <c r="AJ436" s="72" t="str">
        <f t="shared" si="20"/>
        <v/>
      </c>
    </row>
    <row r="437" spans="34:36">
      <c r="AH437" s="2" t="str">
        <f t="shared" si="19"/>
        <v/>
      </c>
      <c r="AI437" s="49"/>
      <c r="AJ437" s="72" t="str">
        <f t="shared" si="20"/>
        <v/>
      </c>
    </row>
    <row r="438" spans="34:36">
      <c r="AH438" s="2" t="str">
        <f t="shared" si="19"/>
        <v/>
      </c>
      <c r="AI438" s="49"/>
      <c r="AJ438" s="72" t="str">
        <f t="shared" si="20"/>
        <v/>
      </c>
    </row>
    <row r="439" spans="34:36">
      <c r="AH439" s="2" t="str">
        <f t="shared" si="19"/>
        <v/>
      </c>
      <c r="AI439" s="49"/>
      <c r="AJ439" s="72" t="str">
        <f t="shared" si="20"/>
        <v/>
      </c>
    </row>
    <row r="440" spans="34:36">
      <c r="AH440" s="2" t="str">
        <f t="shared" si="19"/>
        <v/>
      </c>
      <c r="AI440" s="49"/>
      <c r="AJ440" s="72" t="str">
        <f t="shared" si="20"/>
        <v/>
      </c>
    </row>
    <row r="441" spans="34:36">
      <c r="AH441" s="2" t="str">
        <f t="shared" si="19"/>
        <v/>
      </c>
      <c r="AI441" s="49"/>
      <c r="AJ441" s="72" t="str">
        <f t="shared" si="20"/>
        <v/>
      </c>
    </row>
    <row r="442" spans="34:36">
      <c r="AH442" s="2" t="str">
        <f t="shared" si="19"/>
        <v/>
      </c>
      <c r="AI442" s="49"/>
      <c r="AJ442" s="72" t="str">
        <f t="shared" si="20"/>
        <v/>
      </c>
    </row>
    <row r="443" spans="34:36">
      <c r="AH443" s="2" t="str">
        <f t="shared" si="19"/>
        <v/>
      </c>
      <c r="AI443" s="49"/>
      <c r="AJ443" s="72" t="str">
        <f t="shared" si="20"/>
        <v/>
      </c>
    </row>
    <row r="444" spans="34:36">
      <c r="AH444" s="2" t="str">
        <f t="shared" si="19"/>
        <v/>
      </c>
      <c r="AI444" s="49"/>
      <c r="AJ444" s="72" t="str">
        <f t="shared" si="20"/>
        <v/>
      </c>
    </row>
    <row r="445" spans="34:36">
      <c r="AH445" s="2" t="str">
        <f t="shared" si="19"/>
        <v/>
      </c>
      <c r="AI445" s="49"/>
      <c r="AJ445" s="72" t="str">
        <f t="shared" si="20"/>
        <v/>
      </c>
    </row>
    <row r="446" spans="34:36">
      <c r="AH446" s="2" t="str">
        <f t="shared" si="19"/>
        <v/>
      </c>
      <c r="AI446" s="49"/>
      <c r="AJ446" s="72" t="str">
        <f t="shared" si="20"/>
        <v/>
      </c>
    </row>
    <row r="447" spans="34:36">
      <c r="AH447" s="2" t="str">
        <f t="shared" si="19"/>
        <v/>
      </c>
      <c r="AI447" s="49"/>
      <c r="AJ447" s="72" t="str">
        <f t="shared" si="20"/>
        <v/>
      </c>
    </row>
    <row r="448" spans="34:36">
      <c r="AH448" s="2" t="str">
        <f t="shared" si="19"/>
        <v/>
      </c>
      <c r="AI448" s="49"/>
      <c r="AJ448" s="72" t="str">
        <f t="shared" si="20"/>
        <v/>
      </c>
    </row>
    <row r="449" spans="34:36">
      <c r="AH449" s="2" t="str">
        <f t="shared" si="19"/>
        <v/>
      </c>
      <c r="AI449" s="49"/>
      <c r="AJ449" s="72" t="str">
        <f t="shared" si="20"/>
        <v/>
      </c>
    </row>
    <row r="450" spans="34:36">
      <c r="AH450" s="2" t="str">
        <f t="shared" si="19"/>
        <v/>
      </c>
      <c r="AI450" s="49"/>
      <c r="AJ450" s="72" t="str">
        <f t="shared" si="20"/>
        <v/>
      </c>
    </row>
    <row r="451" spans="34:36">
      <c r="AH451" s="2" t="str">
        <f t="shared" si="19"/>
        <v/>
      </c>
      <c r="AI451" s="49"/>
      <c r="AJ451" s="72" t="str">
        <f t="shared" si="20"/>
        <v/>
      </c>
    </row>
    <row r="452" spans="34:36">
      <c r="AH452" s="2" t="str">
        <f t="shared" si="19"/>
        <v/>
      </c>
      <c r="AI452" s="49"/>
      <c r="AJ452" s="72" t="str">
        <f t="shared" si="20"/>
        <v/>
      </c>
    </row>
    <row r="453" spans="34:36">
      <c r="AH453" s="2" t="str">
        <f t="shared" si="19"/>
        <v/>
      </c>
      <c r="AI453" s="49"/>
      <c r="AJ453" s="72" t="str">
        <f t="shared" si="20"/>
        <v/>
      </c>
    </row>
    <row r="454" spans="34:36">
      <c r="AH454" s="2" t="str">
        <f t="shared" si="19"/>
        <v/>
      </c>
      <c r="AI454" s="49"/>
      <c r="AJ454" s="72" t="str">
        <f t="shared" si="20"/>
        <v/>
      </c>
    </row>
    <row r="455" spans="34:36">
      <c r="AH455" s="2" t="str">
        <f t="shared" si="19"/>
        <v/>
      </c>
      <c r="AI455" s="49"/>
      <c r="AJ455" s="72" t="str">
        <f t="shared" si="20"/>
        <v/>
      </c>
    </row>
    <row r="456" spans="34:36">
      <c r="AH456" s="2" t="str">
        <f t="shared" si="19"/>
        <v/>
      </c>
      <c r="AI456" s="49"/>
      <c r="AJ456" s="72" t="str">
        <f t="shared" si="20"/>
        <v/>
      </c>
    </row>
    <row r="457" spans="34:36">
      <c r="AH457" s="2" t="str">
        <f t="shared" si="19"/>
        <v/>
      </c>
      <c r="AI457" s="49"/>
      <c r="AJ457" s="72" t="str">
        <f t="shared" si="20"/>
        <v/>
      </c>
    </row>
    <row r="458" spans="34:36">
      <c r="AH458" s="2" t="str">
        <f t="shared" si="19"/>
        <v/>
      </c>
      <c r="AI458" s="49"/>
      <c r="AJ458" s="72" t="str">
        <f t="shared" si="20"/>
        <v/>
      </c>
    </row>
    <row r="459" spans="34:36">
      <c r="AH459" s="2" t="str">
        <f t="shared" si="19"/>
        <v/>
      </c>
      <c r="AI459" s="49"/>
      <c r="AJ459" s="72" t="str">
        <f t="shared" si="20"/>
        <v/>
      </c>
    </row>
    <row r="460" spans="34:36">
      <c r="AH460" s="2" t="str">
        <f t="shared" ref="AH460:AH496" si="21">IF(ROW()&gt;IF($D$6="1nm spectral data",496,108),"",IF($D$6="1nm spectral data",298,300)+IF($D$6="1nm spectral data",1,5)*(ROW()-ROW($AH$12)))</f>
        <v/>
      </c>
      <c r="AI460" s="49"/>
      <c r="AJ460" s="72" t="str">
        <f t="shared" si="20"/>
        <v/>
      </c>
    </row>
    <row r="461" spans="34:36">
      <c r="AH461" s="2" t="str">
        <f t="shared" si="21"/>
        <v/>
      </c>
      <c r="AI461" s="49"/>
      <c r="AJ461" s="72" t="str">
        <f t="shared" si="20"/>
        <v/>
      </c>
    </row>
    <row r="462" spans="34:36">
      <c r="AH462" s="2" t="str">
        <f t="shared" si="21"/>
        <v/>
      </c>
      <c r="AI462" s="49"/>
      <c r="AJ462" s="72" t="str">
        <f t="shared" ref="AJ462:AJ494" si="22">IF(AND($D$6="1nm spectral data",$AH462&lt;&gt;""),IF($AH462/5=INT($AH462/5),SUM($AI460:$AI464),""),"")</f>
        <v/>
      </c>
    </row>
    <row r="463" spans="34:36">
      <c r="AH463" s="2" t="str">
        <f t="shared" si="21"/>
        <v/>
      </c>
      <c r="AI463" s="49"/>
      <c r="AJ463" s="72" t="str">
        <f t="shared" si="22"/>
        <v/>
      </c>
    </row>
    <row r="464" spans="34:36">
      <c r="AH464" s="2" t="str">
        <f t="shared" si="21"/>
        <v/>
      </c>
      <c r="AI464" s="49"/>
      <c r="AJ464" s="72" t="str">
        <f t="shared" si="22"/>
        <v/>
      </c>
    </row>
    <row r="465" spans="34:36">
      <c r="AH465" s="2" t="str">
        <f t="shared" si="21"/>
        <v/>
      </c>
      <c r="AI465" s="49"/>
      <c r="AJ465" s="72" t="str">
        <f t="shared" si="22"/>
        <v/>
      </c>
    </row>
    <row r="466" spans="34:36">
      <c r="AH466" s="2" t="str">
        <f t="shared" si="21"/>
        <v/>
      </c>
      <c r="AI466" s="49"/>
      <c r="AJ466" s="72" t="str">
        <f t="shared" si="22"/>
        <v/>
      </c>
    </row>
    <row r="467" spans="34:36">
      <c r="AH467" s="2" t="str">
        <f t="shared" si="21"/>
        <v/>
      </c>
      <c r="AI467" s="49"/>
      <c r="AJ467" s="72" t="str">
        <f t="shared" si="22"/>
        <v/>
      </c>
    </row>
    <row r="468" spans="34:36">
      <c r="AH468" s="2" t="str">
        <f t="shared" si="21"/>
        <v/>
      </c>
      <c r="AI468" s="49"/>
      <c r="AJ468" s="72" t="str">
        <f t="shared" si="22"/>
        <v/>
      </c>
    </row>
    <row r="469" spans="34:36">
      <c r="AH469" s="2" t="str">
        <f t="shared" si="21"/>
        <v/>
      </c>
      <c r="AI469" s="49"/>
      <c r="AJ469" s="72" t="str">
        <f t="shared" si="22"/>
        <v/>
      </c>
    </row>
    <row r="470" spans="34:36">
      <c r="AH470" s="2" t="str">
        <f t="shared" si="21"/>
        <v/>
      </c>
      <c r="AI470" s="49"/>
      <c r="AJ470" s="72" t="str">
        <f t="shared" si="22"/>
        <v/>
      </c>
    </row>
    <row r="471" spans="34:36">
      <c r="AH471" s="2" t="str">
        <f t="shared" si="21"/>
        <v/>
      </c>
      <c r="AI471" s="49"/>
      <c r="AJ471" s="72" t="str">
        <f t="shared" si="22"/>
        <v/>
      </c>
    </row>
    <row r="472" spans="34:36">
      <c r="AH472" s="2" t="str">
        <f t="shared" si="21"/>
        <v/>
      </c>
      <c r="AI472" s="49"/>
      <c r="AJ472" s="72" t="str">
        <f t="shared" si="22"/>
        <v/>
      </c>
    </row>
    <row r="473" spans="34:36">
      <c r="AH473" s="2" t="str">
        <f t="shared" si="21"/>
        <v/>
      </c>
      <c r="AI473" s="49"/>
      <c r="AJ473" s="72" t="str">
        <f t="shared" si="22"/>
        <v/>
      </c>
    </row>
    <row r="474" spans="34:36">
      <c r="AH474" s="2" t="str">
        <f t="shared" si="21"/>
        <v/>
      </c>
      <c r="AI474" s="49"/>
      <c r="AJ474" s="72" t="str">
        <f t="shared" si="22"/>
        <v/>
      </c>
    </row>
    <row r="475" spans="34:36">
      <c r="AH475" s="2" t="str">
        <f t="shared" si="21"/>
        <v/>
      </c>
      <c r="AI475" s="49"/>
      <c r="AJ475" s="72" t="str">
        <f t="shared" si="22"/>
        <v/>
      </c>
    </row>
    <row r="476" spans="34:36">
      <c r="AH476" s="2" t="str">
        <f t="shared" si="21"/>
        <v/>
      </c>
      <c r="AI476" s="49"/>
      <c r="AJ476" s="72" t="str">
        <f t="shared" si="22"/>
        <v/>
      </c>
    </row>
    <row r="477" spans="34:36">
      <c r="AH477" s="2" t="str">
        <f t="shared" si="21"/>
        <v/>
      </c>
      <c r="AI477" s="49"/>
      <c r="AJ477" s="72" t="str">
        <f t="shared" si="22"/>
        <v/>
      </c>
    </row>
    <row r="478" spans="34:36">
      <c r="AH478" s="2" t="str">
        <f t="shared" si="21"/>
        <v/>
      </c>
      <c r="AI478" s="49"/>
      <c r="AJ478" s="72" t="str">
        <f t="shared" si="22"/>
        <v/>
      </c>
    </row>
    <row r="479" spans="34:36">
      <c r="AH479" s="2" t="str">
        <f t="shared" si="21"/>
        <v/>
      </c>
      <c r="AI479" s="49"/>
      <c r="AJ479" s="72" t="str">
        <f t="shared" si="22"/>
        <v/>
      </c>
    </row>
    <row r="480" spans="34:36">
      <c r="AH480" s="2" t="str">
        <f t="shared" si="21"/>
        <v/>
      </c>
      <c r="AI480" s="49"/>
      <c r="AJ480" s="72" t="str">
        <f t="shared" si="22"/>
        <v/>
      </c>
    </row>
    <row r="481" spans="34:36">
      <c r="AH481" s="2" t="str">
        <f t="shared" si="21"/>
        <v/>
      </c>
      <c r="AI481" s="49"/>
      <c r="AJ481" s="72" t="str">
        <f t="shared" si="22"/>
        <v/>
      </c>
    </row>
    <row r="482" spans="34:36">
      <c r="AH482" s="2" t="str">
        <f t="shared" si="21"/>
        <v/>
      </c>
      <c r="AI482" s="49"/>
      <c r="AJ482" s="72" t="str">
        <f t="shared" si="22"/>
        <v/>
      </c>
    </row>
    <row r="483" spans="34:36">
      <c r="AH483" s="2" t="str">
        <f t="shared" si="21"/>
        <v/>
      </c>
      <c r="AI483" s="49"/>
      <c r="AJ483" s="72" t="str">
        <f t="shared" si="22"/>
        <v/>
      </c>
    </row>
    <row r="484" spans="34:36">
      <c r="AH484" s="2" t="str">
        <f t="shared" si="21"/>
        <v/>
      </c>
      <c r="AI484" s="49"/>
      <c r="AJ484" s="72" t="str">
        <f t="shared" si="22"/>
        <v/>
      </c>
    </row>
    <row r="485" spans="34:36">
      <c r="AH485" s="2" t="str">
        <f t="shared" si="21"/>
        <v/>
      </c>
      <c r="AI485" s="49"/>
      <c r="AJ485" s="72" t="str">
        <f t="shared" si="22"/>
        <v/>
      </c>
    </row>
    <row r="486" spans="34:36">
      <c r="AH486" s="2" t="str">
        <f t="shared" si="21"/>
        <v/>
      </c>
      <c r="AI486" s="49"/>
      <c r="AJ486" s="72" t="str">
        <f t="shared" si="22"/>
        <v/>
      </c>
    </row>
    <row r="487" spans="34:36">
      <c r="AH487" s="2" t="str">
        <f t="shared" si="21"/>
        <v/>
      </c>
      <c r="AI487" s="49"/>
      <c r="AJ487" s="72" t="str">
        <f t="shared" si="22"/>
        <v/>
      </c>
    </row>
    <row r="488" spans="34:36">
      <c r="AH488" s="2" t="str">
        <f t="shared" si="21"/>
        <v/>
      </c>
      <c r="AI488" s="49"/>
      <c r="AJ488" s="72" t="str">
        <f t="shared" si="22"/>
        <v/>
      </c>
    </row>
    <row r="489" spans="34:36">
      <c r="AH489" s="2" t="str">
        <f t="shared" si="21"/>
        <v/>
      </c>
      <c r="AI489" s="49"/>
      <c r="AJ489" s="72" t="str">
        <f t="shared" si="22"/>
        <v/>
      </c>
    </row>
    <row r="490" spans="34:36">
      <c r="AH490" s="2" t="str">
        <f t="shared" si="21"/>
        <v/>
      </c>
      <c r="AI490" s="49"/>
      <c r="AJ490" s="72" t="str">
        <f t="shared" si="22"/>
        <v/>
      </c>
    </row>
    <row r="491" spans="34:36">
      <c r="AH491" s="2" t="str">
        <f t="shared" si="21"/>
        <v/>
      </c>
      <c r="AI491" s="49"/>
      <c r="AJ491" s="72" t="str">
        <f t="shared" si="22"/>
        <v/>
      </c>
    </row>
    <row r="492" spans="34:36">
      <c r="AH492" s="2" t="str">
        <f t="shared" si="21"/>
        <v/>
      </c>
      <c r="AI492" s="49"/>
      <c r="AJ492" s="72" t="str">
        <f t="shared" si="22"/>
        <v/>
      </c>
    </row>
    <row r="493" spans="34:36">
      <c r="AH493" s="2" t="str">
        <f t="shared" si="21"/>
        <v/>
      </c>
      <c r="AI493" s="49"/>
      <c r="AJ493" s="72" t="str">
        <f t="shared" si="22"/>
        <v/>
      </c>
    </row>
    <row r="494" spans="34:36">
      <c r="AH494" s="2" t="str">
        <f t="shared" si="21"/>
        <v/>
      </c>
      <c r="AI494" s="49"/>
      <c r="AJ494" s="72" t="str">
        <f t="shared" si="22"/>
        <v/>
      </c>
    </row>
    <row r="495" spans="34:36">
      <c r="AH495" s="2" t="str">
        <f t="shared" si="21"/>
        <v/>
      </c>
      <c r="AI495" s="49"/>
    </row>
    <row r="496" spans="34:36" ht="15.75" thickBot="1">
      <c r="AH496" s="2" t="str">
        <f t="shared" si="21"/>
        <v/>
      </c>
      <c r="AI496" s="50"/>
    </row>
  </sheetData>
  <mergeCells count="3">
    <mergeCell ref="D4:I4"/>
    <mergeCell ref="O4:P4"/>
    <mergeCell ref="W4:AC4"/>
  </mergeCells>
  <phoneticPr fontId="0" type="noConversion"/>
  <dataValidations xWindow="352" yWindow="409" count="11">
    <dataValidation type="whole" allowBlank="1" showInputMessage="1" showErrorMessage="1" promptTitle="Narrowband peak" prompt="Values from 350 nm to 650 nm" sqref="D18" xr:uid="{00000000-0002-0000-0600-000000000000}">
      <formula1>350</formula1>
      <formula2>650</formula2>
    </dataValidation>
    <dataValidation type="whole" allowBlank="1" showInputMessage="1" showErrorMessage="1" promptTitle="Full width half maximum, FWHM" prompt="Values from 5 nm to 50 nm" sqref="D19" xr:uid="{00000000-0002-0000-0600-000001000000}">
      <formula1>5</formula1>
      <formula2>50</formula2>
    </dataValidation>
    <dataValidation type="whole" allowBlank="1" showInputMessage="1" showErrorMessage="1" promptTitle="Blackbody temperature" prompt="Values from 2000 K to 20,000 K" sqref="D17" xr:uid="{00000000-0002-0000-0600-000002000000}">
      <formula1>2000</formula1>
      <formula2>20000</formula2>
    </dataValidation>
    <dataValidation type="list" showInputMessage="1" showErrorMessage="1" promptTitle="Units of measured light quantity" prompt="L = illuminance (&quot;lux&quot;)_x000a_P = irradiance (&quot;power&quot;)_x000a_Q = log (photon flux) (&quot;quanta&quot;)_x000a_" sqref="D13" xr:uid="{00000000-0002-0000-0600-000003000000}">
      <formula1>"L, P, Q"</formula1>
    </dataValidation>
    <dataValidation type="list" showInputMessage="1" showErrorMessage="1" promptTitle="Light source" prompt="A = Illuminant A (incandescent, 2856K)_x000a_D = Illuminant D65 (daylight, 6504K)_x000a_F = Illuminant F (fluoresecent, CCT ~3000K)_x000a_L = White LED (blue+phospor, CCT ~4730K)_x000a_N = Narrowband, incl monochromatic_x000a_B = Blackbody spectra_x000a_E = equal energy (for normalisation)" sqref="D12" xr:uid="{00000000-0002-0000-0600-000004000000}">
      <formula1>"A, D, F, L, N, B, E"</formula1>
    </dataValidation>
    <dataValidation type="decimal" operator="greaterThan" showInputMessage="1" showErrorMessage="1" sqref="D14" xr:uid="{00000000-0002-0000-0600-000005000000}">
      <formula1>0</formula1>
    </dataValidation>
    <dataValidation type="textLength" operator="lessThan" showInputMessage="1" showErrorMessage="1" sqref="D4:J4" xr:uid="{00000000-0002-0000-0600-000006000000}">
      <formula1>32</formula1>
    </dataValidation>
    <dataValidation type="list" showInputMessage="1" showErrorMessage="1" promptTitle="Choose mode of operation" prompt="If spectral data measured outside the eye is not used, the differences between this and the actual data used may lead to errors. In particular, the spectra of most standard illuminants options are unlikely to be reproduced exactly in practice." sqref="D6" xr:uid="{00000000-0002-0000-0600-000007000000}">
      <formula1>"1nm spectral data, 5nm spectral data, approximate mode"</formula1>
    </dataValidation>
    <dataValidation type="list" allowBlank="1" showInputMessage="1" showErrorMessage="1" promptTitle="Select pigment" prompt="Choose between sc (S cone), z (Melanopsin), r (Rod) and mc (M cone) weighting functions for calculating the red line in the Spectral Power Distribution chart." sqref="O4:P4" xr:uid="{00000000-0002-0000-0600-000008000000}">
      <formula1>$D$27:$D$30</formula1>
    </dataValidation>
    <dataValidation type="whole" allowBlank="1" showInputMessage="1" showErrorMessage="1" promptTitle="M cone peak wavelength" prompt="Input the wavelength for maximum sensitivity (given equal photon flux) for the M cone, between 500 nm and 650 nm" sqref="E30" xr:uid="{00000000-0002-0000-0600-000009000000}">
      <formula1>500</formula1>
      <formula2>650</formula2>
    </dataValidation>
    <dataValidation type="whole" allowBlank="1" showInputMessage="1" showErrorMessage="1" promptTitle="S cone peak wavelength" prompt="Input the wavelength for maximum sensitivity (given equal photon flux) for the S cone, between 350 nm and 500 nm" sqref="E27" xr:uid="{00000000-0002-0000-0600-00000A000000}">
      <formula1>350</formula1>
      <formula2>500</formula2>
    </dataValidation>
  </dataValidations>
  <pageMargins left="0.70866141732283472" right="0.70866141732283472" top="0.74803149606299213" bottom="0.74803149606299213" header="0.31496062992125984" footer="0.31496062992125984"/>
  <pageSetup scale="41" fitToWidth="2" orientation="portrait" r:id="rId1"/>
  <colBreaks count="1" manualBreakCount="1">
    <brk id="20" max="10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2:AJ120"/>
  <sheetViews>
    <sheetView topLeftCell="N1" zoomScaleNormal="100" workbookViewId="0">
      <selection activeCell="Z8" sqref="Z8"/>
    </sheetView>
  </sheetViews>
  <sheetFormatPr defaultColWidth="9.140625" defaultRowHeight="15"/>
  <cols>
    <col min="1" max="2" width="8.42578125" style="150" customWidth="1"/>
    <col min="3" max="3" width="11.7109375" style="150" customWidth="1"/>
    <col min="4" max="5" width="8.42578125" style="150" customWidth="1"/>
    <col min="6" max="6" width="11.7109375" style="150" customWidth="1"/>
    <col min="7" max="8" width="8.42578125" style="150" customWidth="1"/>
    <col min="9" max="13" width="11.7109375" style="150" customWidth="1"/>
    <col min="14" max="15" width="13.42578125" style="150" customWidth="1"/>
    <col min="16" max="16" width="9.140625" style="150"/>
    <col min="17" max="20" width="10.7109375" style="165" customWidth="1"/>
    <col min="21" max="21" width="10.5703125" style="165" bestFit="1" customWidth="1"/>
    <col min="22" max="22" width="10.5703125" style="165" customWidth="1"/>
    <col min="23" max="23" width="9.140625" style="150"/>
    <col min="24" max="24" width="11.140625" style="150" customWidth="1"/>
    <col min="25" max="28" width="10.7109375" style="165" customWidth="1"/>
    <col min="29" max="29" width="10.5703125" style="165" bestFit="1" customWidth="1"/>
    <col min="30" max="30" width="10.5703125" style="165" customWidth="1"/>
    <col min="31" max="31" width="9.140625" style="150"/>
    <col min="32" max="32" width="14.5703125" style="150" bestFit="1" customWidth="1"/>
    <col min="33" max="36" width="11.5703125" style="150" customWidth="1"/>
    <col min="37" max="16384" width="9.140625" style="150"/>
  </cols>
  <sheetData>
    <row r="2" spans="1:36" ht="33.75">
      <c r="A2" s="149" t="s">
        <v>177</v>
      </c>
      <c r="B2" s="149"/>
      <c r="C2" s="149"/>
    </row>
    <row r="3" spans="1:36" ht="15" customHeight="1"/>
    <row r="4" spans="1:36" ht="15" customHeight="1">
      <c r="B4" s="151" t="s">
        <v>140</v>
      </c>
      <c r="H4" s="152" t="s">
        <v>141</v>
      </c>
    </row>
    <row r="5" spans="1:36" ht="15" customHeight="1">
      <c r="H5" s="151"/>
      <c r="I5" s="151"/>
      <c r="J5" s="151"/>
      <c r="K5" s="151"/>
      <c r="L5" s="151"/>
      <c r="M5" s="153"/>
      <c r="N5" s="153"/>
      <c r="O5" s="153"/>
    </row>
    <row r="6" spans="1:36" ht="15" customHeight="1"/>
    <row r="7" spans="1:36" ht="15" customHeight="1">
      <c r="C7" s="153" t="s">
        <v>163</v>
      </c>
      <c r="F7" s="153" t="s">
        <v>154</v>
      </c>
      <c r="H7" s="151" t="s">
        <v>18</v>
      </c>
      <c r="I7" s="153" t="s">
        <v>132</v>
      </c>
      <c r="J7" s="153" t="s">
        <v>17</v>
      </c>
      <c r="K7" s="153" t="s">
        <v>15</v>
      </c>
      <c r="L7" s="153" t="s">
        <v>16</v>
      </c>
      <c r="M7" s="153" t="s">
        <v>152</v>
      </c>
      <c r="N7" s="153"/>
      <c r="O7" s="153"/>
    </row>
    <row r="8" spans="1:36" ht="15" customHeight="1">
      <c r="C8" s="154" t="s">
        <v>134</v>
      </c>
      <c r="F8" s="154" t="s">
        <v>122</v>
      </c>
      <c r="H8" s="150" t="s">
        <v>89</v>
      </c>
      <c r="I8" s="155" t="s">
        <v>155</v>
      </c>
      <c r="J8" s="155" t="s">
        <v>156</v>
      </c>
      <c r="K8" s="155" t="s">
        <v>157</v>
      </c>
      <c r="L8" s="155" t="s">
        <v>158</v>
      </c>
      <c r="M8" s="155" t="s">
        <v>84</v>
      </c>
      <c r="N8" s="155"/>
      <c r="O8" s="155"/>
    </row>
    <row r="9" spans="1:36" ht="15" customHeight="1">
      <c r="C9" s="154" t="s">
        <v>135</v>
      </c>
      <c r="F9" s="154" t="s">
        <v>123</v>
      </c>
      <c r="H9" s="150" t="s">
        <v>120</v>
      </c>
      <c r="I9" s="156">
        <f>SPD!$L$17*SUM($M$22:$M$118)*5</f>
        <v>72983.249794511445</v>
      </c>
      <c r="J9" s="156">
        <f>SPD!$L$17*SUM($M$22:$M$118)*5</f>
        <v>72983.249794511445</v>
      </c>
      <c r="K9" s="156">
        <f>SPD!$L$17*SUM($M$22:$M$118)*5</f>
        <v>72983.249794511445</v>
      </c>
      <c r="L9" s="156">
        <f>SPD!$L$17*SUM($M$22:$M$118)*5</f>
        <v>72983.249794511445</v>
      </c>
      <c r="M9" s="156">
        <f>SPD!$L$17</f>
        <v>683.00154779022682</v>
      </c>
      <c r="N9" s="156"/>
      <c r="O9" s="156"/>
    </row>
    <row r="10" spans="1:36" ht="15" customHeight="1">
      <c r="C10" s="154" t="s">
        <v>146</v>
      </c>
      <c r="F10" s="154" t="s">
        <v>133</v>
      </c>
    </row>
    <row r="11" spans="1:36" ht="15" customHeight="1">
      <c r="C11" s="157">
        <f>SPD!L6</f>
        <v>52.692337886186436</v>
      </c>
      <c r="F11" s="158" t="s">
        <v>145</v>
      </c>
      <c r="H11" s="151" t="s">
        <v>159</v>
      </c>
    </row>
    <row r="12" spans="1:36" ht="15" customHeight="1">
      <c r="F12" s="159"/>
      <c r="H12" s="160" t="s">
        <v>165</v>
      </c>
      <c r="I12" s="157">
        <f>($C$11*I$9/100)*SUMPRODUCT($C$22:$C$118,I$22:I$118)</f>
        <v>2820.4411134698576</v>
      </c>
      <c r="J12" s="157">
        <f>($C$11*J$9/100)*SUMPRODUCT($C$22:$C$118,J$22:J$118)</f>
        <v>11121.189513238258</v>
      </c>
      <c r="K12" s="157">
        <f>($C$11*K$9/100)*SUMPRODUCT($C$22:$C$118,K$22:K$118)</f>
        <v>11648.975514298116</v>
      </c>
      <c r="L12" s="157">
        <f>($C$11*L$9/100)*SUMPRODUCT($C$22:$C$118,L$22:L$118)</f>
        <v>11887.120850122057</v>
      </c>
      <c r="M12" s="157">
        <f>($C$11*M$9/100)*SUMPRODUCT($C$22:$C$118,M$22:M$118)</f>
        <v>100</v>
      </c>
      <c r="N12" s="157"/>
      <c r="O12" s="157"/>
    </row>
    <row r="13" spans="1:36" ht="15" customHeight="1">
      <c r="B13" s="154"/>
      <c r="C13" s="153" t="s">
        <v>49</v>
      </c>
      <c r="F13" s="159" t="s">
        <v>151</v>
      </c>
      <c r="H13" s="161" t="s">
        <v>166</v>
      </c>
      <c r="I13" s="157">
        <f>($C$11/I$16)*SUMPRODUCT($C$22:$C$118,I$22:I$118)</f>
        <v>3.8645703907748117</v>
      </c>
      <c r="J13" s="157">
        <f>($C$11/J$16)*SUMPRODUCT($C$22:$C$118,J$22:J$118)</f>
        <v>15.239618015932786</v>
      </c>
      <c r="K13" s="157">
        <f>($C$11/K$16)*SUMPRODUCT($C$22:$C$118,K$22:K$118)</f>
        <v>15.981715557317518</v>
      </c>
      <c r="L13" s="157">
        <f>($C$11/L$16)*SUMPRODUCT($C$22:$C$118,L$22:L$118)</f>
        <v>16.307734944512678</v>
      </c>
      <c r="M13" s="157">
        <f>($C$11/M$16)*SUMPRODUCT($C$22:$C$118,M$22:M$118)</f>
        <v>14.641255253891961</v>
      </c>
      <c r="N13" s="157"/>
      <c r="O13" s="157"/>
    </row>
    <row r="14" spans="1:36" ht="15" customHeight="1">
      <c r="B14" s="154"/>
      <c r="C14" s="154" t="str">
        <f>Toolbox!E12</f>
        <v xml:space="preserve">  daylight</v>
      </c>
      <c r="E14" s="150" t="str">
        <f>Toolbox!D27</f>
        <v>S cone</v>
      </c>
      <c r="F14" s="150">
        <f>Toolbox!E27</f>
        <v>360</v>
      </c>
      <c r="AH14" s="165"/>
      <c r="AI14" s="165"/>
      <c r="AJ14" s="165"/>
    </row>
    <row r="15" spans="1:36" ht="15" customHeight="1">
      <c r="B15" s="154"/>
      <c r="C15" s="154" t="str">
        <f>Toolbox!E13</f>
        <v xml:space="preserve">  illuminance</v>
      </c>
      <c r="E15" s="150" t="str">
        <f>Toolbox!D28</f>
        <v>Melanopsin</v>
      </c>
      <c r="F15" s="150">
        <f>Toolbox!E28</f>
        <v>480</v>
      </c>
      <c r="H15" s="152" t="s">
        <v>161</v>
      </c>
      <c r="Y15" s="196"/>
      <c r="Z15" s="196"/>
      <c r="AA15" s="196"/>
      <c r="AB15" s="196"/>
      <c r="AC15" s="196"/>
      <c r="AD15" s="196"/>
      <c r="AG15" s="165"/>
      <c r="AH15" s="165"/>
      <c r="AI15" s="165"/>
      <c r="AJ15" s="165"/>
    </row>
    <row r="16" spans="1:36" ht="15" customHeight="1">
      <c r="B16" s="154">
        <f>IF(C16="  n/a","  n/a",Toolbox!D14)</f>
        <v>100</v>
      </c>
      <c r="C16" s="154" t="str">
        <f>Toolbox!E14</f>
        <v xml:space="preserve">  lux</v>
      </c>
      <c r="E16" s="150" t="str">
        <f>Toolbox!D29</f>
        <v>Rod</v>
      </c>
      <c r="F16" s="150">
        <f>Toolbox!E29</f>
        <v>498</v>
      </c>
      <c r="H16" s="150" t="s">
        <v>162</v>
      </c>
      <c r="I16" s="162">
        <f>MAX(I$22:I$118)</f>
        <v>0.99998299999999996</v>
      </c>
      <c r="J16" s="162">
        <f t="shared" ref="J16:M16" si="0">MAX(J$22:J$118)</f>
        <v>0.99989399999999995</v>
      </c>
      <c r="K16" s="162">
        <f t="shared" si="0"/>
        <v>0.99871399999999999</v>
      </c>
      <c r="L16" s="162">
        <f>MAX(L$22:L$118)</f>
        <v>0.99875700000000001</v>
      </c>
      <c r="M16" s="162">
        <f t="shared" si="0"/>
        <v>1</v>
      </c>
      <c r="N16" s="162"/>
      <c r="O16" s="162"/>
      <c r="AG16" s="165"/>
      <c r="AH16" s="165"/>
      <c r="AI16" s="165"/>
      <c r="AJ16" s="165"/>
    </row>
    <row r="17" spans="2:36" ht="15" customHeight="1">
      <c r="C17" s="154" t="str">
        <f>IF(Toolbox!$D$6&lt;&gt;"approximate mode","Custom spd","peaking at "&amp;Toolbox!I19&amp;" nm")</f>
        <v>peaking at 460 nm</v>
      </c>
      <c r="E17" s="150" t="str">
        <f>Toolbox!D30</f>
        <v>M cone</v>
      </c>
      <c r="F17" s="150">
        <f>Toolbox!E30</f>
        <v>508</v>
      </c>
      <c r="H17" s="163" t="s">
        <v>160</v>
      </c>
      <c r="I17" s="150">
        <f ca="1">OFFSET($H$21,MATCH(I$16,I$22:I$118,0),0)</f>
        <v>365</v>
      </c>
      <c r="J17" s="150">
        <f ca="1">OFFSET($H$21,MATCH(J$16,J$22:J$118,0),0)</f>
        <v>485</v>
      </c>
      <c r="K17" s="150">
        <f ca="1">OFFSET($H$21,MATCH(K$16,K$22:K$118,0),0)</f>
        <v>505</v>
      </c>
      <c r="L17" s="150">
        <f ca="1">OFFSET($H$21,MATCH(L$16,L$22:L$118,0),0)</f>
        <v>515</v>
      </c>
      <c r="M17" s="150">
        <f ca="1">OFFSET($H$21,MATCH(M$16,M$22:M$118,0),0)</f>
        <v>555</v>
      </c>
      <c r="P17" s="150" t="s">
        <v>2</v>
      </c>
      <c r="Q17" s="195">
        <f t="shared" ref="Q17:V17" si="1">SUM(Q22:Q118)*$C$11</f>
        <v>3.8645046930781684</v>
      </c>
      <c r="R17" s="195">
        <f t="shared" si="1"/>
        <v>15.238002616423097</v>
      </c>
      <c r="S17" s="195">
        <f t="shared" si="1"/>
        <v>15.961163071110807</v>
      </c>
      <c r="T17" s="195">
        <f t="shared" si="1"/>
        <v>16.287464429976648</v>
      </c>
      <c r="U17" s="195">
        <f t="shared" si="1"/>
        <v>14.641255253891961</v>
      </c>
      <c r="V17" s="195">
        <f t="shared" si="1"/>
        <v>13.26675483162739</v>
      </c>
      <c r="X17" s="150" t="s">
        <v>169</v>
      </c>
      <c r="Y17" s="195">
        <f t="shared" ref="Y17:AD17" si="2">SUM(Y22:Y118)*$C$11</f>
        <v>100.00000000000003</v>
      </c>
      <c r="Z17" s="195">
        <f t="shared" si="2"/>
        <v>99.999999999999957</v>
      </c>
      <c r="AA17" s="195">
        <f t="shared" si="2"/>
        <v>99.999999999999915</v>
      </c>
      <c r="AB17" s="195">
        <f t="shared" si="2"/>
        <v>99.999999999999957</v>
      </c>
      <c r="AC17" s="195">
        <f t="shared" si="2"/>
        <v>99.999999999999986</v>
      </c>
      <c r="AD17" s="195">
        <f t="shared" si="2"/>
        <v>100.00000000000007</v>
      </c>
      <c r="AF17" s="150" t="s">
        <v>174</v>
      </c>
      <c r="AG17" s="167">
        <f>SUM(AG22:AG118)</f>
        <v>7105207986907.9766</v>
      </c>
      <c r="AH17" s="167">
        <f t="shared" ref="AH17:AJ17" si="3">SUM(AH22:AH118)</f>
        <v>36505015836663.094</v>
      </c>
      <c r="AI17" s="167">
        <f t="shared" si="3"/>
        <v>39457458562775.273</v>
      </c>
      <c r="AJ17" s="167">
        <f t="shared" si="3"/>
        <v>40957344545665.406</v>
      </c>
    </row>
    <row r="18" spans="2:36" ht="15" customHeight="1">
      <c r="B18" s="170"/>
      <c r="C18" s="170"/>
      <c r="P18" s="150" t="s">
        <v>168</v>
      </c>
      <c r="Q18" s="196">
        <f t="shared" ref="Q18:V18" si="4">100/Q17</f>
        <v>25.876537342317899</v>
      </c>
      <c r="R18" s="196">
        <f t="shared" si="4"/>
        <v>6.5625398890680575</v>
      </c>
      <c r="S18" s="196">
        <f t="shared" si="4"/>
        <v>6.265207588850263</v>
      </c>
      <c r="T18" s="196">
        <f t="shared" si="4"/>
        <v>6.1396910753003793</v>
      </c>
      <c r="U18" s="196">
        <f t="shared" si="4"/>
        <v>6.8300154779022684</v>
      </c>
      <c r="V18" s="196">
        <f t="shared" si="4"/>
        <v>7.5376383500812247</v>
      </c>
      <c r="X18" s="150" t="s">
        <v>181</v>
      </c>
      <c r="Y18" s="196">
        <v>25.876537342317899</v>
      </c>
      <c r="Z18" s="196">
        <v>6.5625398890680575</v>
      </c>
      <c r="AA18" s="196">
        <v>6.265207588850263</v>
      </c>
      <c r="AB18" s="196">
        <v>6.1396910753003793</v>
      </c>
      <c r="AC18" s="196">
        <v>6.8300154779022684</v>
      </c>
      <c r="AD18" s="196">
        <v>7.5376383500812247</v>
      </c>
      <c r="AF18" s="150" t="s">
        <v>173</v>
      </c>
      <c r="AG18" s="193">
        <f>LOG10(AG17)</f>
        <v>12.851576795316884</v>
      </c>
      <c r="AH18" s="193">
        <f t="shared" ref="AH18:AJ18" si="5">LOG10(AH17)</f>
        <v>13.562352541183159</v>
      </c>
      <c r="AI18" s="193">
        <f t="shared" si="5"/>
        <v>13.596129109104021</v>
      </c>
      <c r="AJ18" s="193">
        <f t="shared" si="5"/>
        <v>13.612331791557889</v>
      </c>
    </row>
    <row r="19" spans="2:36" ht="15" customHeight="1">
      <c r="Q19" s="196"/>
      <c r="R19" s="196"/>
      <c r="S19" s="196"/>
      <c r="T19" s="196"/>
      <c r="U19" s="196"/>
      <c r="V19" s="196"/>
      <c r="Z19" s="196"/>
      <c r="AA19" s="196"/>
      <c r="AB19" s="197"/>
      <c r="AC19" s="196"/>
      <c r="AD19" s="196"/>
      <c r="AG19" s="194"/>
      <c r="AH19" s="194"/>
      <c r="AI19" s="194"/>
      <c r="AJ19" s="194"/>
    </row>
    <row r="20" spans="2:36" ht="15" customHeight="1">
      <c r="B20" s="150" t="s">
        <v>167</v>
      </c>
      <c r="H20" s="203" t="s">
        <v>180</v>
      </c>
      <c r="P20" s="203" t="s">
        <v>179</v>
      </c>
      <c r="X20" s="203" t="s">
        <v>178</v>
      </c>
      <c r="AF20" s="173" t="s">
        <v>170</v>
      </c>
      <c r="AG20" s="165"/>
      <c r="AH20" s="165"/>
      <c r="AI20" s="165"/>
      <c r="AJ20" s="165"/>
    </row>
    <row r="21" spans="2:36" ht="18">
      <c r="B21" s="151" t="s">
        <v>1</v>
      </c>
      <c r="C21" s="154" t="s">
        <v>164</v>
      </c>
      <c r="D21" s="154"/>
      <c r="E21" s="153"/>
      <c r="F21" s="154" t="s">
        <v>153</v>
      </c>
      <c r="G21" s="154"/>
      <c r="H21" s="153"/>
      <c r="I21" s="153" t="s">
        <v>132</v>
      </c>
      <c r="J21" s="153" t="s">
        <v>17</v>
      </c>
      <c r="K21" s="153" t="s">
        <v>15</v>
      </c>
      <c r="L21" s="153" t="s">
        <v>16</v>
      </c>
      <c r="M21" s="153" t="s">
        <v>138</v>
      </c>
      <c r="N21" s="176" t="s">
        <v>172</v>
      </c>
      <c r="O21" s="176"/>
      <c r="Q21" s="166" t="s">
        <v>132</v>
      </c>
      <c r="R21" s="166" t="s">
        <v>17</v>
      </c>
      <c r="S21" s="166" t="s">
        <v>15</v>
      </c>
      <c r="T21" s="166" t="s">
        <v>16</v>
      </c>
      <c r="U21" s="166" t="s">
        <v>138</v>
      </c>
      <c r="V21" s="166" t="s">
        <v>172</v>
      </c>
      <c r="Y21" s="166" t="s">
        <v>132</v>
      </c>
      <c r="Z21" s="166" t="s">
        <v>17</v>
      </c>
      <c r="AA21" s="166" t="s">
        <v>15</v>
      </c>
      <c r="AB21" s="166" t="s">
        <v>16</v>
      </c>
      <c r="AC21" s="166" t="s">
        <v>138</v>
      </c>
      <c r="AD21" s="166" t="s">
        <v>172</v>
      </c>
      <c r="AG21" s="166" t="s">
        <v>132</v>
      </c>
      <c r="AH21" s="166" t="s">
        <v>17</v>
      </c>
      <c r="AI21" s="166" t="s">
        <v>15</v>
      </c>
      <c r="AJ21" s="166" t="s">
        <v>16</v>
      </c>
    </row>
    <row r="22" spans="2:36">
      <c r="B22" s="151">
        <v>300</v>
      </c>
      <c r="C22" s="164">
        <f>SPD!N22</f>
        <v>4.4832378769599419E-6</v>
      </c>
      <c r="E22" s="151">
        <v>300</v>
      </c>
      <c r="F22" s="157">
        <v>6.9999999999999993E-3</v>
      </c>
      <c r="H22" s="151">
        <v>300</v>
      </c>
      <c r="I22" s="172">
        <v>0</v>
      </c>
      <c r="J22" s="172">
        <v>0</v>
      </c>
      <c r="K22" s="172">
        <v>0</v>
      </c>
      <c r="L22" s="172">
        <v>0</v>
      </c>
      <c r="M22" s="172">
        <v>0</v>
      </c>
      <c r="N22" s="172">
        <v>9.1816499999999998E-4</v>
      </c>
      <c r="O22" s="172"/>
      <c r="P22" s="151">
        <v>300</v>
      </c>
      <c r="Q22" s="195">
        <f>$C22*I22</f>
        <v>0</v>
      </c>
      <c r="R22" s="195">
        <f t="shared" ref="R22:T22" si="6">$C22*J22</f>
        <v>0</v>
      </c>
      <c r="S22" s="195">
        <f t="shared" si="6"/>
        <v>0</v>
      </c>
      <c r="T22" s="195">
        <f t="shared" si="6"/>
        <v>0</v>
      </c>
      <c r="U22" s="195">
        <f>$C22*M22</f>
        <v>0</v>
      </c>
      <c r="V22" s="195">
        <f>$C22*N22</f>
        <v>4.1163521052989248E-9</v>
      </c>
      <c r="X22" s="151">
        <v>300</v>
      </c>
      <c r="Y22" s="195">
        <f t="shared" ref="Y22:AD22" si="7">Q22*Y$18</f>
        <v>0</v>
      </c>
      <c r="Z22" s="195">
        <f t="shared" si="7"/>
        <v>0</v>
      </c>
      <c r="AA22" s="195">
        <f t="shared" si="7"/>
        <v>0</v>
      </c>
      <c r="AB22" s="195">
        <f t="shared" si="7"/>
        <v>0</v>
      </c>
      <c r="AC22" s="195">
        <f t="shared" si="7"/>
        <v>0</v>
      </c>
      <c r="AD22" s="195">
        <f t="shared" si="7"/>
        <v>3.1027573491338764E-8</v>
      </c>
      <c r="AF22" s="151">
        <v>300</v>
      </c>
      <c r="AG22" s="167">
        <f>Toolbox!$AA12*Calculations!I22</f>
        <v>0</v>
      </c>
      <c r="AH22" s="167">
        <f>Toolbox!$AA12*Calculations!J22</f>
        <v>0</v>
      </c>
      <c r="AI22" s="167">
        <f>Toolbox!$AA12*Calculations!K22</f>
        <v>0</v>
      </c>
      <c r="AJ22" s="167">
        <f>Toolbox!$AA12*Calculations!L22</f>
        <v>0</v>
      </c>
    </row>
    <row r="23" spans="2:36">
      <c r="B23" s="151">
        <v>305</v>
      </c>
      <c r="C23" s="164">
        <f>SPD!N23</f>
        <v>2.1881093251098038E-4</v>
      </c>
      <c r="E23" s="151">
        <v>305</v>
      </c>
      <c r="F23" s="157">
        <v>3.548133892335753E-2</v>
      </c>
      <c r="H23" s="151">
        <v>305</v>
      </c>
      <c r="I23" s="172">
        <v>0</v>
      </c>
      <c r="J23" s="172">
        <v>0</v>
      </c>
      <c r="K23" s="172">
        <v>0</v>
      </c>
      <c r="L23" s="172">
        <v>0</v>
      </c>
      <c r="M23" s="172">
        <v>0</v>
      </c>
      <c r="N23" s="172">
        <v>9.1816499999999998E-4</v>
      </c>
      <c r="O23" s="172"/>
      <c r="P23" s="151">
        <v>305</v>
      </c>
      <c r="Q23" s="195">
        <f t="shared" ref="Q23:Q86" si="8">$C23*I23</f>
        <v>0</v>
      </c>
      <c r="R23" s="195">
        <f t="shared" ref="R23:R86" si="9">$C23*J23</f>
        <v>0</v>
      </c>
      <c r="S23" s="195">
        <f t="shared" ref="S23:S86" si="10">$C23*K23</f>
        <v>0</v>
      </c>
      <c r="T23" s="195">
        <f t="shared" ref="T23:T86" si="11">$C23*L23</f>
        <v>0</v>
      </c>
      <c r="U23" s="195">
        <f t="shared" ref="U23:U86" si="12">$C23*M23</f>
        <v>0</v>
      </c>
      <c r="V23" s="195">
        <f t="shared" ref="V23:V86" si="13">$C23*N23</f>
        <v>2.0090453984894428E-7</v>
      </c>
      <c r="X23" s="151">
        <v>305</v>
      </c>
      <c r="Y23" s="195">
        <f t="shared" ref="Y23:Y86" si="14">Q23*Y$18</f>
        <v>0</v>
      </c>
      <c r="Z23" s="195">
        <f t="shared" ref="Z23:Z86" si="15">R23*Z$18</f>
        <v>0</v>
      </c>
      <c r="AA23" s="195">
        <f t="shared" ref="AA23:AA86" si="16">S23*AA$18</f>
        <v>0</v>
      </c>
      <c r="AB23" s="195">
        <f t="shared" ref="AB23:AB86" si="17">T23*AB$18</f>
        <v>0</v>
      </c>
      <c r="AC23" s="195">
        <f t="shared" ref="AC23:AC86" si="18">U23*AC$18</f>
        <v>0</v>
      </c>
      <c r="AD23" s="195">
        <f t="shared" ref="AD23:AD86" si="19">V23*AD$18</f>
        <v>1.514345764270824E-6</v>
      </c>
      <c r="AF23" s="151">
        <v>305</v>
      </c>
      <c r="AG23" s="167">
        <f>Toolbox!$AA13*Calculations!I23</f>
        <v>0</v>
      </c>
      <c r="AH23" s="167">
        <f>Toolbox!$AA13*Calculations!J23</f>
        <v>0</v>
      </c>
      <c r="AI23" s="167">
        <f>Toolbox!$AA13*Calculations!K23</f>
        <v>0</v>
      </c>
      <c r="AJ23" s="167">
        <f>Toolbox!$AA13*Calculations!L23</f>
        <v>0</v>
      </c>
    </row>
    <row r="24" spans="2:36">
      <c r="B24" s="151">
        <v>310</v>
      </c>
      <c r="C24" s="164">
        <f>SPD!N24</f>
        <v>4.3313862714500087E-4</v>
      </c>
      <c r="E24" s="151">
        <v>310</v>
      </c>
      <c r="F24" s="157">
        <v>0.10300000000000001</v>
      </c>
      <c r="H24" s="151">
        <v>310</v>
      </c>
      <c r="I24" s="172">
        <v>6.2429999999999999E-2</v>
      </c>
      <c r="J24" s="172">
        <v>1.0685999999999999E-2</v>
      </c>
      <c r="K24" s="172">
        <v>9.3120000000000008E-3</v>
      </c>
      <c r="L24" s="172">
        <v>8.6700000000000006E-3</v>
      </c>
      <c r="M24" s="172">
        <v>0</v>
      </c>
      <c r="N24" s="172">
        <v>9.1816499999999998E-4</v>
      </c>
      <c r="O24" s="172"/>
      <c r="P24" s="151">
        <v>310</v>
      </c>
      <c r="Q24" s="195">
        <f t="shared" si="8"/>
        <v>2.7040844492662403E-5</v>
      </c>
      <c r="R24" s="195">
        <f t="shared" si="9"/>
        <v>4.6285193696714787E-6</v>
      </c>
      <c r="S24" s="195">
        <f t="shared" si="10"/>
        <v>4.0333868959742486E-6</v>
      </c>
      <c r="T24" s="195">
        <f t="shared" si="11"/>
        <v>3.7553118973471579E-6</v>
      </c>
      <c r="U24" s="195">
        <f t="shared" si="12"/>
        <v>0</v>
      </c>
      <c r="V24" s="195">
        <f t="shared" si="13"/>
        <v>3.976927275925897E-7</v>
      </c>
      <c r="X24" s="151">
        <v>310</v>
      </c>
      <c r="Y24" s="195">
        <f t="shared" si="14"/>
        <v>6.9972342228218998E-4</v>
      </c>
      <c r="Z24" s="195">
        <f t="shared" si="15"/>
        <v>3.037484299079322E-5</v>
      </c>
      <c r="AA24" s="195">
        <f t="shared" si="16"/>
        <v>2.5270006189427067E-5</v>
      </c>
      <c r="AB24" s="195">
        <f t="shared" si="17"/>
        <v>2.305645494111168E-5</v>
      </c>
      <c r="AC24" s="195">
        <f t="shared" si="18"/>
        <v>0</v>
      </c>
      <c r="AD24" s="195">
        <f t="shared" si="19"/>
        <v>2.9976639550503099E-6</v>
      </c>
      <c r="AF24" s="151">
        <v>310</v>
      </c>
      <c r="AG24" s="167">
        <f>Toolbox!$AA14*Calculations!I24</f>
        <v>2223579790.2158275</v>
      </c>
      <c r="AH24" s="167">
        <f>Toolbox!$AA14*Calculations!J24</f>
        <v>380605055.87452072</v>
      </c>
      <c r="AI24" s="167">
        <f>Toolbox!$AA14*Calculations!K24</f>
        <v>331667067.21912199</v>
      </c>
      <c r="AJ24" s="167">
        <f>Toolbox!$AA14*Calculations!L24</f>
        <v>308800845.44563872</v>
      </c>
    </row>
    <row r="25" spans="2:36">
      <c r="B25" s="151">
        <v>315</v>
      </c>
      <c r="C25" s="164">
        <f>SPD!N25</f>
        <v>1.5468090988272466E-3</v>
      </c>
      <c r="E25" s="151">
        <v>315</v>
      </c>
      <c r="F25" s="157">
        <v>0.23384259378835601</v>
      </c>
      <c r="H25" s="151">
        <v>315</v>
      </c>
      <c r="I25" s="172">
        <v>0.20324500000000001</v>
      </c>
      <c r="J25" s="172">
        <v>3.5457000000000002E-2</v>
      </c>
      <c r="K25" s="172">
        <v>3.1043000000000001E-2</v>
      </c>
      <c r="L25" s="172">
        <v>2.8962000000000002E-2</v>
      </c>
      <c r="M25" s="172">
        <v>0</v>
      </c>
      <c r="N25" s="172">
        <v>9.1816499999999998E-4</v>
      </c>
      <c r="O25" s="172"/>
      <c r="P25" s="151">
        <v>315</v>
      </c>
      <c r="Q25" s="195">
        <f>$C25*I25</f>
        <v>3.1438121529114377E-4</v>
      </c>
      <c r="R25" s="195">
        <f t="shared" si="9"/>
        <v>5.4845210217117687E-5</v>
      </c>
      <c r="S25" s="195">
        <f t="shared" si="10"/>
        <v>4.8017594854894222E-5</v>
      </c>
      <c r="T25" s="195">
        <f t="shared" si="11"/>
        <v>4.4798685120234722E-5</v>
      </c>
      <c r="U25" s="195">
        <f t="shared" si="12"/>
        <v>0</v>
      </c>
      <c r="V25" s="195">
        <f t="shared" si="13"/>
        <v>1.4202259762247189E-6</v>
      </c>
      <c r="X25" s="151">
        <v>315</v>
      </c>
      <c r="Y25" s="195">
        <f t="shared" si="14"/>
        <v>8.1350972572045641E-3</v>
      </c>
      <c r="Z25" s="195">
        <f t="shared" si="15"/>
        <v>3.5992387977415782E-4</v>
      </c>
      <c r="AA25" s="195">
        <f t="shared" si="16"/>
        <v>3.0084019968322061E-4</v>
      </c>
      <c r="AB25" s="195">
        <f t="shared" si="17"/>
        <v>2.7505008721789701E-4</v>
      </c>
      <c r="AC25" s="195">
        <f t="shared" si="18"/>
        <v>0</v>
      </c>
      <c r="AD25" s="195">
        <f t="shared" si="19"/>
        <v>1.0705149784172987E-5</v>
      </c>
      <c r="AF25" s="151">
        <v>315</v>
      </c>
      <c r="AG25" s="167">
        <f>Toolbox!$AA15*Calculations!I25</f>
        <v>26268659790.823494</v>
      </c>
      <c r="AH25" s="167">
        <f>Toolbox!$AA15*Calculations!J25</f>
        <v>4582685282.3106527</v>
      </c>
      <c r="AI25" s="167">
        <f>Toolbox!$AA15*Calculations!K25</f>
        <v>4012192210.8122396</v>
      </c>
      <c r="AJ25" s="167">
        <f>Toolbox!$AA15*Calculations!L25</f>
        <v>3743230706.1026349</v>
      </c>
    </row>
    <row r="26" spans="2:36">
      <c r="B26" s="151">
        <v>320</v>
      </c>
      <c r="C26" s="164">
        <f>SPD!N26</f>
        <v>2.660492717834645E-3</v>
      </c>
      <c r="E26" s="151">
        <v>320</v>
      </c>
      <c r="F26" s="157">
        <v>0.33</v>
      </c>
      <c r="H26" s="151">
        <v>320</v>
      </c>
      <c r="I26" s="172">
        <v>0.31637700000000002</v>
      </c>
      <c r="J26" s="172">
        <v>5.5732999999999998E-2</v>
      </c>
      <c r="K26" s="172">
        <v>4.9113999999999998E-2</v>
      </c>
      <c r="L26" s="172">
        <v>4.5955000000000003E-2</v>
      </c>
      <c r="M26" s="172">
        <v>0</v>
      </c>
      <c r="N26" s="172">
        <v>9.1816499999999998E-4</v>
      </c>
      <c r="O26" s="172"/>
      <c r="P26" s="151">
        <v>320</v>
      </c>
      <c r="Q26" s="195">
        <f t="shared" si="8"/>
        <v>8.4171870459037149E-4</v>
      </c>
      <c r="R26" s="195">
        <f t="shared" si="9"/>
        <v>1.4827724064307826E-4</v>
      </c>
      <c r="S26" s="195">
        <f t="shared" si="10"/>
        <v>1.3066743934373075E-4</v>
      </c>
      <c r="T26" s="195">
        <f t="shared" si="11"/>
        <v>1.2226294284809112E-4</v>
      </c>
      <c r="U26" s="195">
        <f t="shared" si="12"/>
        <v>0</v>
      </c>
      <c r="V26" s="195">
        <f t="shared" si="13"/>
        <v>2.4427712962706467E-6</v>
      </c>
      <c r="X26" s="151">
        <v>320</v>
      </c>
      <c r="Y26" s="195">
        <f t="shared" si="14"/>
        <v>2.1780765491060197E-2</v>
      </c>
      <c r="Z26" s="195">
        <f t="shared" si="15"/>
        <v>9.7307530636114446E-4</v>
      </c>
      <c r="AA26" s="195">
        <f t="shared" si="16"/>
        <v>8.1865863259197326E-4</v>
      </c>
      <c r="AB26" s="195">
        <f t="shared" si="17"/>
        <v>7.5065669904438536E-4</v>
      </c>
      <c r="AC26" s="195">
        <f t="shared" si="18"/>
        <v>0</v>
      </c>
      <c r="AD26" s="195">
        <f t="shared" si="19"/>
        <v>1.8412726603247251E-5</v>
      </c>
      <c r="AF26" s="151">
        <v>320</v>
      </c>
      <c r="AG26" s="167">
        <f>Toolbox!$AA16*Calculations!I26</f>
        <v>71447614014.843292</v>
      </c>
      <c r="AH26" s="167">
        <f>Toolbox!$AA16*Calculations!J26</f>
        <v>12586217935.846352</v>
      </c>
      <c r="AI26" s="167">
        <f>Toolbox!$AA16*Calculations!K26</f>
        <v>11091445063.089331</v>
      </c>
      <c r="AJ26" s="167">
        <f>Toolbox!$AA16*Calculations!L26</f>
        <v>10378046134.997562</v>
      </c>
    </row>
    <row r="27" spans="2:36">
      <c r="B27" s="151">
        <v>325</v>
      </c>
      <c r="C27" s="164">
        <f>SPD!N27</f>
        <v>3.7660118479224181E-3</v>
      </c>
      <c r="E27" s="151">
        <v>325</v>
      </c>
      <c r="F27" s="157">
        <v>0.39915740621164403</v>
      </c>
      <c r="H27" s="151">
        <v>325</v>
      </c>
      <c r="I27" s="172">
        <v>0.41478300000000001</v>
      </c>
      <c r="J27" s="172">
        <v>7.2831000000000007E-2</v>
      </c>
      <c r="K27" s="172">
        <v>6.4702999999999997E-2</v>
      </c>
      <c r="L27" s="172">
        <v>6.0772E-2</v>
      </c>
      <c r="M27" s="172">
        <v>0</v>
      </c>
      <c r="N27" s="172">
        <v>9.1816499999999998E-4</v>
      </c>
      <c r="O27" s="172"/>
      <c r="P27" s="151">
        <v>325</v>
      </c>
      <c r="Q27" s="195">
        <f t="shared" si="8"/>
        <v>1.5620776923168044E-3</v>
      </c>
      <c r="R27" s="195">
        <f t="shared" si="9"/>
        <v>2.7428240889603768E-4</v>
      </c>
      <c r="S27" s="195">
        <f t="shared" si="10"/>
        <v>2.4367226459612421E-4</v>
      </c>
      <c r="T27" s="195">
        <f t="shared" si="11"/>
        <v>2.2886807202194119E-4</v>
      </c>
      <c r="U27" s="195">
        <f t="shared" si="12"/>
        <v>0</v>
      </c>
      <c r="V27" s="195">
        <f t="shared" si="13"/>
        <v>3.4578202683476871E-6</v>
      </c>
      <c r="X27" s="151">
        <v>325</v>
      </c>
      <c r="Y27" s="195">
        <f t="shared" si="14"/>
        <v>4.042116173683756E-2</v>
      </c>
      <c r="Z27" s="195">
        <f t="shared" si="15"/>
        <v>1.7999892492499227E-3</v>
      </c>
      <c r="AA27" s="195">
        <f t="shared" si="16"/>
        <v>1.5266573213399666E-3</v>
      </c>
      <c r="AB27" s="195">
        <f t="shared" si="17"/>
        <v>1.4051792592143168E-3</v>
      </c>
      <c r="AC27" s="195">
        <f t="shared" si="18"/>
        <v>0</v>
      </c>
      <c r="AD27" s="195">
        <f t="shared" si="19"/>
        <v>2.6063798662385678E-5</v>
      </c>
      <c r="AF27" s="151">
        <v>325</v>
      </c>
      <c r="AG27" s="167">
        <f>Toolbox!$AA17*Calculations!I27</f>
        <v>134665629344.48801</v>
      </c>
      <c r="AH27" s="167">
        <f>Toolbox!$AA17*Calculations!J27</f>
        <v>23645695341.391537</v>
      </c>
      <c r="AI27" s="167">
        <f>Toolbox!$AA17*Calculations!K27</f>
        <v>21006816131.510708</v>
      </c>
      <c r="AJ27" s="167">
        <f>Toolbox!$AA17*Calculations!L27</f>
        <v>19730557005.76741</v>
      </c>
    </row>
    <row r="28" spans="2:36">
      <c r="B28" s="151">
        <v>330</v>
      </c>
      <c r="C28" s="164">
        <f>SPD!N28</f>
        <v>4.8715441253353439E-3</v>
      </c>
      <c r="E28" s="151">
        <v>330</v>
      </c>
      <c r="F28" s="157">
        <v>0.44900000000000001</v>
      </c>
      <c r="H28" s="151">
        <v>330</v>
      </c>
      <c r="I28" s="172">
        <v>0.50729299999999999</v>
      </c>
      <c r="J28" s="172">
        <v>8.7540000000000007E-2</v>
      </c>
      <c r="K28" s="172">
        <v>7.8510999999999997E-2</v>
      </c>
      <c r="L28" s="172">
        <v>7.4079999999999993E-2</v>
      </c>
      <c r="M28" s="172">
        <v>0</v>
      </c>
      <c r="N28" s="172">
        <v>9.1816499999999998E-4</v>
      </c>
      <c r="O28" s="172"/>
      <c r="P28" s="151">
        <v>330</v>
      </c>
      <c r="Q28" s="195">
        <f t="shared" si="8"/>
        <v>2.4713002339737428E-3</v>
      </c>
      <c r="R28" s="195">
        <f t="shared" si="9"/>
        <v>4.2645497273185605E-4</v>
      </c>
      <c r="S28" s="195">
        <f t="shared" si="10"/>
        <v>3.8246980082420315E-4</v>
      </c>
      <c r="T28" s="195">
        <f t="shared" si="11"/>
        <v>3.6088398880484225E-4</v>
      </c>
      <c r="U28" s="195">
        <f t="shared" si="12"/>
        <v>0</v>
      </c>
      <c r="V28" s="195">
        <f t="shared" si="13"/>
        <v>4.4728813118385258E-6</v>
      </c>
      <c r="X28" s="151">
        <v>330</v>
      </c>
      <c r="Y28" s="195">
        <f t="shared" si="14"/>
        <v>6.3948692788500516E-2</v>
      </c>
      <c r="Z28" s="195">
        <f t="shared" si="15"/>
        <v>2.7986277694442359E-3</v>
      </c>
      <c r="AA28" s="195">
        <f t="shared" si="16"/>
        <v>2.396252698629846E-3</v>
      </c>
      <c r="AB28" s="195">
        <f t="shared" si="17"/>
        <v>2.2157162052838918E-3</v>
      </c>
      <c r="AC28" s="195">
        <f t="shared" si="18"/>
        <v>0</v>
      </c>
      <c r="AD28" s="195">
        <f t="shared" si="19"/>
        <v>3.371496171147569E-5</v>
      </c>
      <c r="AF28" s="151">
        <v>330</v>
      </c>
      <c r="AG28" s="167">
        <f>Toolbox!$AA18*Calculations!I28</f>
        <v>216326749099.45551</v>
      </c>
      <c r="AH28" s="167">
        <f>Toolbox!$AA18*Calculations!J28</f>
        <v>37329991969.466042</v>
      </c>
      <c r="AI28" s="167">
        <f>Toolbox!$AA18*Calculations!K28</f>
        <v>33479723549.403111</v>
      </c>
      <c r="AJ28" s="167">
        <f>Toolbox!$AA18*Calculations!L28</f>
        <v>31590196539.845146</v>
      </c>
    </row>
    <row r="29" spans="2:36">
      <c r="B29" s="151">
        <v>335</v>
      </c>
      <c r="C29" s="164">
        <f>SPD!N29</f>
        <v>5.0618648042411269E-3</v>
      </c>
      <c r="E29" s="151">
        <v>335</v>
      </c>
      <c r="F29" s="157">
        <v>0.48690278136506698</v>
      </c>
      <c r="H29" s="151">
        <v>335</v>
      </c>
      <c r="I29" s="172">
        <v>0.59650700000000001</v>
      </c>
      <c r="J29" s="172">
        <v>9.9873000000000003E-2</v>
      </c>
      <c r="K29" s="172">
        <v>9.0525999999999995E-2</v>
      </c>
      <c r="L29" s="172">
        <v>8.5872000000000004E-2</v>
      </c>
      <c r="M29" s="172">
        <v>0</v>
      </c>
      <c r="N29" s="172">
        <v>9.1816499999999998E-4</v>
      </c>
      <c r="O29" s="172"/>
      <c r="P29" s="151">
        <v>335</v>
      </c>
      <c r="Q29" s="195">
        <f t="shared" si="8"/>
        <v>3.019437788783462E-3</v>
      </c>
      <c r="R29" s="195">
        <f t="shared" si="9"/>
        <v>5.055436235939741E-4</v>
      </c>
      <c r="S29" s="195">
        <f t="shared" si="10"/>
        <v>4.5823037326873223E-4</v>
      </c>
      <c r="T29" s="195">
        <f t="shared" si="11"/>
        <v>4.3467245446979409E-4</v>
      </c>
      <c r="U29" s="195">
        <f t="shared" si="12"/>
        <v>0</v>
      </c>
      <c r="V29" s="195">
        <f t="shared" si="13"/>
        <v>4.6476270979860545E-6</v>
      </c>
      <c r="X29" s="151">
        <v>335</v>
      </c>
      <c r="Y29" s="195">
        <f t="shared" si="14"/>
        <v>7.8132594694261037E-2</v>
      </c>
      <c r="Z29" s="195">
        <f t="shared" si="15"/>
        <v>3.3176501954994627E-3</v>
      </c>
      <c r="AA29" s="195">
        <f t="shared" si="16"/>
        <v>2.8709084120449499E-3</v>
      </c>
      <c r="AB29" s="195">
        <f t="shared" si="17"/>
        <v>2.6687545893871053E-3</v>
      </c>
      <c r="AC29" s="195">
        <f t="shared" si="18"/>
        <v>0</v>
      </c>
      <c r="AD29" s="195">
        <f t="shared" si="19"/>
        <v>3.5032132250656396E-5</v>
      </c>
      <c r="AF29" s="151">
        <v>335</v>
      </c>
      <c r="AG29" s="167">
        <f>Toolbox!$AA19*Calculations!I29</f>
        <v>268312970113.0369</v>
      </c>
      <c r="AH29" s="167">
        <f>Toolbox!$AA19*Calculations!J29</f>
        <v>44923565463.773827</v>
      </c>
      <c r="AI29" s="167">
        <f>Toolbox!$AA19*Calculations!K29</f>
        <v>40719220281.493385</v>
      </c>
      <c r="AJ29" s="167">
        <f>Toolbox!$AA19*Calculations!L29</f>
        <v>38625818925.086723</v>
      </c>
    </row>
    <row r="30" spans="2:36">
      <c r="B30" s="151">
        <v>340</v>
      </c>
      <c r="C30" s="164">
        <f>SPD!N30</f>
        <v>5.2521986304720622E-3</v>
      </c>
      <c r="E30" s="151">
        <v>340</v>
      </c>
      <c r="F30" s="157">
        <v>0.51900000000000002</v>
      </c>
      <c r="H30" s="151">
        <v>340</v>
      </c>
      <c r="I30" s="172">
        <v>0.68412799999999996</v>
      </c>
      <c r="J30" s="172">
        <v>0.110087</v>
      </c>
      <c r="K30" s="172">
        <v>0.100915</v>
      </c>
      <c r="L30" s="172">
        <v>9.6294000000000005E-2</v>
      </c>
      <c r="M30" s="172">
        <v>0</v>
      </c>
      <c r="N30" s="172">
        <v>9.1816499999999998E-4</v>
      </c>
      <c r="O30" s="172"/>
      <c r="P30" s="151">
        <v>340</v>
      </c>
      <c r="Q30" s="195">
        <f t="shared" si="8"/>
        <v>3.5931761446675908E-3</v>
      </c>
      <c r="R30" s="195">
        <f t="shared" si="9"/>
        <v>5.7819879063277793E-4</v>
      </c>
      <c r="S30" s="195">
        <f t="shared" si="10"/>
        <v>5.3002562479408815E-4</v>
      </c>
      <c r="T30" s="195">
        <f t="shared" si="11"/>
        <v>5.0575521492267675E-4</v>
      </c>
      <c r="U30" s="195">
        <f t="shared" si="12"/>
        <v>0</v>
      </c>
      <c r="V30" s="195">
        <f t="shared" si="13"/>
        <v>4.822384955547381E-6</v>
      </c>
      <c r="X30" s="151">
        <v>340</v>
      </c>
      <c r="Y30" s="195">
        <f t="shared" si="14"/>
        <v>9.2978956685016781E-2</v>
      </c>
      <c r="Z30" s="195">
        <f t="shared" si="15"/>
        <v>3.7944526273385156E-3</v>
      </c>
      <c r="AA30" s="195">
        <f t="shared" si="16"/>
        <v>3.3207205667450234E-3</v>
      </c>
      <c r="AB30" s="195">
        <f t="shared" si="17"/>
        <v>3.1051807793473839E-3</v>
      </c>
      <c r="AC30" s="195">
        <f t="shared" si="18"/>
        <v>0</v>
      </c>
      <c r="AD30" s="195">
        <f t="shared" si="19"/>
        <v>3.6349393779788684E-5</v>
      </c>
      <c r="AF30" s="151">
        <v>340</v>
      </c>
      <c r="AG30" s="167">
        <f>Toolbox!$AA20*Calculations!I30</f>
        <v>324062067500.65021</v>
      </c>
      <c r="AH30" s="167">
        <f>Toolbox!$AA20*Calculations!J30</f>
        <v>52146704746.690796</v>
      </c>
      <c r="AI30" s="167">
        <f>Toolbox!$AA20*Calculations!K30</f>
        <v>47802053916.559647</v>
      </c>
      <c r="AJ30" s="167">
        <f>Toolbox!$AA20*Calculations!L30</f>
        <v>45613149480.663872</v>
      </c>
    </row>
    <row r="31" spans="2:36">
      <c r="B31" s="151">
        <v>345</v>
      </c>
      <c r="C31" s="164">
        <f>SPD!N31</f>
        <v>5.5784363568031009E-3</v>
      </c>
      <c r="E31" s="151">
        <v>345</v>
      </c>
      <c r="F31" s="157">
        <v>0.54955621464828197</v>
      </c>
      <c r="H31" s="151">
        <v>345</v>
      </c>
      <c r="I31" s="172">
        <v>0.77310800000000002</v>
      </c>
      <c r="J31" s="172">
        <v>0.118993</v>
      </c>
      <c r="K31" s="172">
        <v>0.110328</v>
      </c>
      <c r="L31" s="172">
        <v>0.105944</v>
      </c>
      <c r="M31" s="172">
        <v>0</v>
      </c>
      <c r="N31" s="172">
        <v>9.1816499999999998E-4</v>
      </c>
      <c r="O31" s="172"/>
      <c r="P31" s="151">
        <v>345</v>
      </c>
      <c r="Q31" s="195">
        <f t="shared" si="8"/>
        <v>4.3127337749353321E-3</v>
      </c>
      <c r="R31" s="195">
        <f t="shared" si="9"/>
        <v>6.6379487740507144E-4</v>
      </c>
      <c r="S31" s="195">
        <f t="shared" si="10"/>
        <v>6.154577263733725E-4</v>
      </c>
      <c r="T31" s="195">
        <f t="shared" si="11"/>
        <v>5.9100186138514774E-4</v>
      </c>
      <c r="U31" s="195">
        <f t="shared" si="12"/>
        <v>0</v>
      </c>
      <c r="V31" s="195">
        <f t="shared" si="13"/>
        <v>5.1219250175441192E-6</v>
      </c>
      <c r="X31" s="151">
        <v>345</v>
      </c>
      <c r="Y31" s="195">
        <f t="shared" si="14"/>
        <v>0.11159861657458976</v>
      </c>
      <c r="Z31" s="195">
        <f t="shared" si="15"/>
        <v>4.3561803611298225E-3</v>
      </c>
      <c r="AA31" s="195">
        <f t="shared" si="16"/>
        <v>3.855970417890982E-3</v>
      </c>
      <c r="AB31" s="195">
        <f t="shared" si="17"/>
        <v>3.6285688538323035E-3</v>
      </c>
      <c r="AC31" s="195">
        <f t="shared" si="18"/>
        <v>0</v>
      </c>
      <c r="AD31" s="195">
        <f t="shared" si="19"/>
        <v>3.8607218438481006E-5</v>
      </c>
      <c r="AF31" s="151">
        <v>345</v>
      </c>
      <c r="AG31" s="167">
        <f>Toolbox!$AA21*Calculations!I31</f>
        <v>394677636457.08606</v>
      </c>
      <c r="AH31" s="167">
        <f>Toolbox!$AA21*Calculations!J31</f>
        <v>60746850368.82045</v>
      </c>
      <c r="AI31" s="167">
        <f>Toolbox!$AA21*Calculations!K31</f>
        <v>56323300593.238441</v>
      </c>
      <c r="AJ31" s="167">
        <f>Toolbox!$AA21*Calculations!L31</f>
        <v>54085234555.598343</v>
      </c>
    </row>
    <row r="32" spans="2:36">
      <c r="B32" s="151">
        <v>350</v>
      </c>
      <c r="C32" s="164">
        <f>SPD!N32</f>
        <v>5.9046872304592919E-3</v>
      </c>
      <c r="E32" s="151">
        <v>350</v>
      </c>
      <c r="F32" s="157">
        <v>0.58099999999999996</v>
      </c>
      <c r="H32" s="151">
        <v>350</v>
      </c>
      <c r="I32" s="172">
        <v>0.85966299999999995</v>
      </c>
      <c r="J32" s="172">
        <v>0.126667</v>
      </c>
      <c r="K32" s="172">
        <v>0.118701</v>
      </c>
      <c r="L32" s="172">
        <v>0.11473</v>
      </c>
      <c r="M32" s="172">
        <v>0</v>
      </c>
      <c r="N32" s="172">
        <v>9.1816499999999998E-4</v>
      </c>
      <c r="O32" s="172"/>
      <c r="P32" s="151">
        <v>350</v>
      </c>
      <c r="Q32" s="195">
        <f t="shared" si="8"/>
        <v>5.0760411385983263E-3</v>
      </c>
      <c r="R32" s="195">
        <f t="shared" si="9"/>
        <v>7.4792901742058715E-4</v>
      </c>
      <c r="S32" s="195">
        <f t="shared" si="10"/>
        <v>7.008922789427484E-4</v>
      </c>
      <c r="T32" s="195">
        <f t="shared" si="11"/>
        <v>6.7744476595059454E-4</v>
      </c>
      <c r="U32" s="195">
        <f t="shared" si="12"/>
        <v>0</v>
      </c>
      <c r="V32" s="195">
        <f t="shared" si="13"/>
        <v>5.4214771509546553E-6</v>
      </c>
      <c r="X32" s="151">
        <v>350</v>
      </c>
      <c r="Y32" s="195">
        <f t="shared" si="14"/>
        <v>0.13135036807408146</v>
      </c>
      <c r="Z32" s="195">
        <f t="shared" si="15"/>
        <v>4.9083140110140816E-3</v>
      </c>
      <c r="AA32" s="195">
        <f t="shared" si="16"/>
        <v>4.3912356249986625E-3</v>
      </c>
      <c r="AB32" s="195">
        <f t="shared" si="17"/>
        <v>4.1593015835158197E-3</v>
      </c>
      <c r="AC32" s="195">
        <f t="shared" si="18"/>
        <v>0</v>
      </c>
      <c r="AD32" s="195">
        <f t="shared" si="19"/>
        <v>4.0865134087124903E-5</v>
      </c>
      <c r="AF32" s="151">
        <v>350</v>
      </c>
      <c r="AG32" s="167">
        <f>Toolbox!$AA22*Calculations!I32</f>
        <v>471263659349.8573</v>
      </c>
      <c r="AH32" s="167">
        <f>Toolbox!$AA22*Calculations!J32</f>
        <v>69438319363.364914</v>
      </c>
      <c r="AI32" s="167">
        <f>Toolbox!$AA22*Calculations!K32</f>
        <v>65071391497.002213</v>
      </c>
      <c r="AJ32" s="167">
        <f>Toolbox!$AA22*Calculations!L32</f>
        <v>62894505913.606995</v>
      </c>
    </row>
    <row r="33" spans="2:36">
      <c r="B33" s="151">
        <v>355</v>
      </c>
      <c r="C33" s="164">
        <f>SPD!N33</f>
        <v>6.0181880884997464E-3</v>
      </c>
      <c r="E33" s="151">
        <v>355</v>
      </c>
      <c r="F33" s="157">
        <v>0.61119378535171798</v>
      </c>
      <c r="H33" s="151">
        <v>355</v>
      </c>
      <c r="I33" s="172">
        <v>0.93438500000000002</v>
      </c>
      <c r="J33" s="172">
        <v>0.13277700000000001</v>
      </c>
      <c r="K33" s="172">
        <v>0.125531</v>
      </c>
      <c r="L33" s="172">
        <v>0.12210799999999999</v>
      </c>
      <c r="M33" s="172">
        <v>0</v>
      </c>
      <c r="N33" s="172">
        <v>9.1816499999999998E-4</v>
      </c>
      <c r="O33" s="172"/>
      <c r="P33" s="151">
        <v>355</v>
      </c>
      <c r="Q33" s="195">
        <f t="shared" si="8"/>
        <v>5.6233046770728353E-3</v>
      </c>
      <c r="R33" s="195">
        <f t="shared" si="9"/>
        <v>7.9907695982673092E-4</v>
      </c>
      <c r="S33" s="195">
        <f t="shared" si="10"/>
        <v>7.5546916893746172E-4</v>
      </c>
      <c r="T33" s="195">
        <f t="shared" si="11"/>
        <v>7.3486891111052704E-4</v>
      </c>
      <c r="U33" s="195">
        <f t="shared" si="12"/>
        <v>0</v>
      </c>
      <c r="V33" s="195">
        <f t="shared" si="13"/>
        <v>5.5256896662773693E-6</v>
      </c>
      <c r="X33" s="151">
        <v>355</v>
      </c>
      <c r="Y33" s="195">
        <f t="shared" si="14"/>
        <v>0.14551165346350611</v>
      </c>
      <c r="Z33" s="195">
        <f t="shared" si="15"/>
        <v>5.2439744232981554E-3</v>
      </c>
      <c r="AA33" s="195">
        <f t="shared" si="16"/>
        <v>4.7331711703693866E-3</v>
      </c>
      <c r="AB33" s="195">
        <f t="shared" si="17"/>
        <v>4.5118680950610108E-3</v>
      </c>
      <c r="AC33" s="195">
        <f t="shared" si="18"/>
        <v>0</v>
      </c>
      <c r="AD33" s="195">
        <f t="shared" si="19"/>
        <v>4.1650650339179823E-5</v>
      </c>
      <c r="AF33" s="151">
        <v>355</v>
      </c>
      <c r="AG33" s="167">
        <f>Toolbox!$AA23*Calculations!I33</f>
        <v>529530209483.20142</v>
      </c>
      <c r="AH33" s="167">
        <f>Toolbox!$AA23*Calculations!J33</f>
        <v>75246747994.189804</v>
      </c>
      <c r="AI33" s="167">
        <f>Toolbox!$AA23*Calculations!K33</f>
        <v>71140329443.040878</v>
      </c>
      <c r="AJ33" s="167">
        <f>Toolbox!$AA23*Calculations!L33</f>
        <v>69200463213.316513</v>
      </c>
    </row>
    <row r="34" spans="2:36">
      <c r="B34" s="151">
        <v>360</v>
      </c>
      <c r="C34" s="164">
        <f>SPD!N34</f>
        <v>6.1316889465402018E-3</v>
      </c>
      <c r="E34" s="151">
        <v>360</v>
      </c>
      <c r="F34" s="157">
        <v>0.63800000000000001</v>
      </c>
      <c r="H34" s="151">
        <v>360</v>
      </c>
      <c r="I34" s="172">
        <v>0.98452899999999999</v>
      </c>
      <c r="J34" s="172">
        <v>0.136986</v>
      </c>
      <c r="K34" s="172">
        <v>0.13023000000000001</v>
      </c>
      <c r="L34" s="172">
        <v>0.12740899999999999</v>
      </c>
      <c r="M34" s="172">
        <v>0</v>
      </c>
      <c r="N34" s="172">
        <v>9.1816499999999998E-4</v>
      </c>
      <c r="O34" s="172"/>
      <c r="P34" s="151">
        <v>360</v>
      </c>
      <c r="Q34" s="195">
        <f t="shared" si="8"/>
        <v>6.0368255868482783E-3</v>
      </c>
      <c r="R34" s="195">
        <f t="shared" si="9"/>
        <v>8.3995554203075608E-4</v>
      </c>
      <c r="S34" s="195">
        <f t="shared" si="10"/>
        <v>7.9852985150793054E-4</v>
      </c>
      <c r="T34" s="195">
        <f t="shared" si="11"/>
        <v>7.8123235698974059E-4</v>
      </c>
      <c r="U34" s="195">
        <f t="shared" si="12"/>
        <v>0</v>
      </c>
      <c r="V34" s="195">
        <f t="shared" si="13"/>
        <v>5.6299021816000841E-6</v>
      </c>
      <c r="X34" s="151">
        <v>360</v>
      </c>
      <c r="Y34" s="195">
        <f t="shared" si="14"/>
        <v>0.15621214272713965</v>
      </c>
      <c r="Z34" s="195">
        <f t="shared" si="15"/>
        <v>5.5122417496206184E-3</v>
      </c>
      <c r="AA34" s="195">
        <f t="shared" si="16"/>
        <v>5.0029552855909596E-3</v>
      </c>
      <c r="AB34" s="195">
        <f t="shared" si="17"/>
        <v>4.7965253299457906E-3</v>
      </c>
      <c r="AC34" s="195">
        <f t="shared" si="18"/>
        <v>0</v>
      </c>
      <c r="AD34" s="195">
        <f t="shared" si="19"/>
        <v>4.2436166591234749E-5</v>
      </c>
      <c r="AF34" s="151">
        <v>360</v>
      </c>
      <c r="AG34" s="167">
        <f>Toolbox!$AA24*Calculations!I34</f>
        <v>576476891636.51794</v>
      </c>
      <c r="AH34" s="167">
        <f>Toolbox!$AA24*Calculations!J34</f>
        <v>80210195410.922424</v>
      </c>
      <c r="AI34" s="167">
        <f>Toolbox!$AA24*Calculations!K34</f>
        <v>76254316122.555801</v>
      </c>
      <c r="AJ34" s="167">
        <f>Toolbox!$AA24*Calculations!L34</f>
        <v>74602519871.448288</v>
      </c>
    </row>
    <row r="35" spans="2:36">
      <c r="B35" s="151">
        <v>365</v>
      </c>
      <c r="C35" s="164">
        <f>SPD!N35</f>
        <v>6.4900061462430355E-3</v>
      </c>
      <c r="E35" s="151">
        <v>365</v>
      </c>
      <c r="F35" s="157">
        <v>0.66016864394484598</v>
      </c>
      <c r="H35" s="151">
        <v>365</v>
      </c>
      <c r="I35" s="172">
        <v>0.99998299999999996</v>
      </c>
      <c r="J35" s="172">
        <v>0.13964599999999999</v>
      </c>
      <c r="K35" s="172">
        <v>0.13280700000000001</v>
      </c>
      <c r="L35" s="172">
        <v>0.13051599999999999</v>
      </c>
      <c r="M35" s="172">
        <v>0</v>
      </c>
      <c r="N35" s="172">
        <v>9.1816499999999998E-4</v>
      </c>
      <c r="O35" s="172"/>
      <c r="P35" s="151">
        <v>365</v>
      </c>
      <c r="Q35" s="195">
        <f t="shared" si="8"/>
        <v>6.489895816138549E-3</v>
      </c>
      <c r="R35" s="195">
        <f t="shared" si="9"/>
        <v>9.0630339829825485E-4</v>
      </c>
      <c r="S35" s="195">
        <f t="shared" si="10"/>
        <v>8.6191824626409889E-4</v>
      </c>
      <c r="T35" s="195">
        <f t="shared" si="11"/>
        <v>8.4704964218305597E-4</v>
      </c>
      <c r="U35" s="195">
        <f t="shared" si="12"/>
        <v>0</v>
      </c>
      <c r="V35" s="195">
        <f t="shared" si="13"/>
        <v>5.9588964932652362E-6</v>
      </c>
      <c r="X35" s="151">
        <v>365</v>
      </c>
      <c r="Y35" s="195">
        <f t="shared" si="14"/>
        <v>0.16793603143406186</v>
      </c>
      <c r="Z35" s="195">
        <f t="shared" si="15"/>
        <v>5.9476522029302328E-3</v>
      </c>
      <c r="AA35" s="195">
        <f t="shared" si="16"/>
        <v>5.4000967374623421E-3</v>
      </c>
      <c r="AB35" s="195">
        <f t="shared" si="17"/>
        <v>5.2006231284476888E-3</v>
      </c>
      <c r="AC35" s="195">
        <f t="shared" si="18"/>
        <v>0</v>
      </c>
      <c r="AD35" s="195">
        <f t="shared" si="19"/>
        <v>4.4916006731800571E-5</v>
      </c>
      <c r="AF35" s="151">
        <v>365</v>
      </c>
      <c r="AG35" s="167">
        <f>Toolbox!$AA25*Calculations!I35</f>
        <v>628349629268.32874</v>
      </c>
      <c r="AH35" s="167">
        <f>Toolbox!$AA25*Calculations!J35</f>
        <v>87748004044.873795</v>
      </c>
      <c r="AI35" s="167">
        <f>Toolbox!$AA25*Calculations!K35</f>
        <v>83450647875.252823</v>
      </c>
      <c r="AJ35" s="167">
        <f>Toolbox!$AA25*Calculations!L35</f>
        <v>82011074401.850021</v>
      </c>
    </row>
    <row r="36" spans="2:36">
      <c r="B36" s="151">
        <v>370</v>
      </c>
      <c r="C36" s="164">
        <f>SPD!N36</f>
        <v>6.8483233459458691E-3</v>
      </c>
      <c r="E36" s="151">
        <v>370</v>
      </c>
      <c r="F36" s="157">
        <v>0.68</v>
      </c>
      <c r="H36" s="151">
        <v>370</v>
      </c>
      <c r="I36" s="172">
        <v>0.97470299999999999</v>
      </c>
      <c r="J36" s="172">
        <v>0.14172499999999999</v>
      </c>
      <c r="K36" s="172">
        <v>0.13384599999999999</v>
      </c>
      <c r="L36" s="172">
        <v>0.131853</v>
      </c>
      <c r="M36" s="172">
        <v>0</v>
      </c>
      <c r="N36" s="172">
        <v>9.1816499999999998E-4</v>
      </c>
      <c r="O36" s="172"/>
      <c r="P36" s="151">
        <v>370</v>
      </c>
      <c r="Q36" s="195">
        <f t="shared" si="8"/>
        <v>6.6750813102634766E-3</v>
      </c>
      <c r="R36" s="195">
        <f t="shared" si="9"/>
        <v>9.7057862620417818E-4</v>
      </c>
      <c r="S36" s="195">
        <f t="shared" si="10"/>
        <v>9.166206865614707E-4</v>
      </c>
      <c r="T36" s="195">
        <f t="shared" si="11"/>
        <v>9.0297197813300062E-4</v>
      </c>
      <c r="U36" s="195">
        <f t="shared" si="12"/>
        <v>0</v>
      </c>
      <c r="V36" s="195">
        <f t="shared" si="13"/>
        <v>6.2878908049303891E-6</v>
      </c>
      <c r="X36" s="151">
        <v>370</v>
      </c>
      <c r="Y36" s="195">
        <f t="shared" si="14"/>
        <v>0.17272799078804113</v>
      </c>
      <c r="Z36" s="195">
        <f t="shared" si="15"/>
        <v>6.3694609499417949E-3</v>
      </c>
      <c r="AA36" s="195">
        <f t="shared" si="16"/>
        <v>5.7428188815420644E-3</v>
      </c>
      <c r="AB36" s="195">
        <f t="shared" si="17"/>
        <v>5.5439689953895128E-3</v>
      </c>
      <c r="AC36" s="195">
        <f t="shared" si="18"/>
        <v>0</v>
      </c>
      <c r="AD36" s="195">
        <f t="shared" si="19"/>
        <v>4.7395846872366405E-5</v>
      </c>
      <c r="AF36" s="151">
        <v>370</v>
      </c>
      <c r="AG36" s="167">
        <f>Toolbox!$AA26*Calculations!I36</f>
        <v>655132369481.86133</v>
      </c>
      <c r="AH36" s="167">
        <f>Toolbox!$AA26*Calculations!J36</f>
        <v>95258386467.279556</v>
      </c>
      <c r="AI36" s="167">
        <f>Toolbox!$AA26*Calculations!K36</f>
        <v>89962631822.892929</v>
      </c>
      <c r="AJ36" s="167">
        <f>Toolbox!$AA26*Calculations!L36</f>
        <v>88623066014.254456</v>
      </c>
    </row>
    <row r="37" spans="2:36">
      <c r="B37" s="151">
        <v>375</v>
      </c>
      <c r="C37" s="164">
        <f>SPD!N37</f>
        <v>6.7093824137355674E-3</v>
      </c>
      <c r="E37" s="151">
        <v>375</v>
      </c>
      <c r="F37" s="157">
        <v>0.69988163886889698</v>
      </c>
      <c r="H37" s="151">
        <v>375</v>
      </c>
      <c r="I37" s="172">
        <v>0.90620500000000004</v>
      </c>
      <c r="J37" s="172">
        <v>0.14449999999999999</v>
      </c>
      <c r="K37" s="172">
        <v>0.134219</v>
      </c>
      <c r="L37" s="172">
        <v>0.13212199999999999</v>
      </c>
      <c r="M37" s="172">
        <v>0</v>
      </c>
      <c r="N37" s="172">
        <v>9.1816499999999998E-4</v>
      </c>
      <c r="O37" s="172"/>
      <c r="P37" s="151">
        <v>375</v>
      </c>
      <c r="Q37" s="195">
        <f t="shared" si="8"/>
        <v>6.0800758902392399E-3</v>
      </c>
      <c r="R37" s="195">
        <f t="shared" si="9"/>
        <v>9.695057587847894E-4</v>
      </c>
      <c r="S37" s="195">
        <f t="shared" si="10"/>
        <v>9.005265981891741E-4</v>
      </c>
      <c r="T37" s="195">
        <f t="shared" si="11"/>
        <v>8.864570232675706E-4</v>
      </c>
      <c r="U37" s="195">
        <f t="shared" si="12"/>
        <v>0</v>
      </c>
      <c r="V37" s="195">
        <f t="shared" si="13"/>
        <v>6.1603201039075169E-6</v>
      </c>
      <c r="X37" s="151">
        <v>375</v>
      </c>
      <c r="Y37" s="195">
        <f t="shared" si="14"/>
        <v>0.15733131081790244</v>
      </c>
      <c r="Z37" s="195">
        <f t="shared" si="15"/>
        <v>6.3624202147063748E-3</v>
      </c>
      <c r="AA37" s="195">
        <f t="shared" si="16"/>
        <v>5.6419860769363252E-3</v>
      </c>
      <c r="AB37" s="195">
        <f t="shared" si="17"/>
        <v>5.4425722743932439E-3</v>
      </c>
      <c r="AC37" s="195">
        <f t="shared" si="18"/>
        <v>0</v>
      </c>
      <c r="AD37" s="195">
        <f t="shared" si="19"/>
        <v>4.6434265063989654E-5</v>
      </c>
      <c r="AF37" s="151">
        <v>375</v>
      </c>
      <c r="AG37" s="167">
        <f>Toolbox!$AA27*Calculations!I37</f>
        <v>604798968102.54639</v>
      </c>
      <c r="AH37" s="167">
        <f>Toolbox!$AA27*Calculations!J37</f>
        <v>96438941399.37204</v>
      </c>
      <c r="AI37" s="167">
        <f>Toolbox!$AA27*Calculations!K37</f>
        <v>89577427513.372437</v>
      </c>
      <c r="AJ37" s="167">
        <f>Toolbox!$AA27*Calculations!L37</f>
        <v>88177894917.424438</v>
      </c>
    </row>
    <row r="38" spans="2:36">
      <c r="B38" s="151">
        <v>380</v>
      </c>
      <c r="C38" s="164">
        <f>SPD!N38</f>
        <v>6.5704414815252665E-3</v>
      </c>
      <c r="E38" s="151">
        <v>380</v>
      </c>
      <c r="F38" s="157">
        <v>0.71900000000000008</v>
      </c>
      <c r="H38" s="151">
        <v>380</v>
      </c>
      <c r="I38" s="172">
        <v>0.79412199999999999</v>
      </c>
      <c r="J38" s="172">
        <v>0.14896899999999999</v>
      </c>
      <c r="K38" s="172">
        <v>0.134551</v>
      </c>
      <c r="L38" s="172">
        <v>0.131771</v>
      </c>
      <c r="M38" s="172">
        <v>3.8999999999999999E-5</v>
      </c>
      <c r="N38" s="172">
        <v>9.1816499999999998E-4</v>
      </c>
      <c r="O38" s="172"/>
      <c r="P38" s="151">
        <v>380</v>
      </c>
      <c r="Q38" s="195">
        <f t="shared" si="8"/>
        <v>5.217732130191808E-3</v>
      </c>
      <c r="R38" s="195">
        <f t="shared" si="9"/>
        <v>9.787920970613373E-4</v>
      </c>
      <c r="S38" s="195">
        <f t="shared" si="10"/>
        <v>8.8405947178070616E-4</v>
      </c>
      <c r="T38" s="195">
        <f t="shared" si="11"/>
        <v>8.6579364446206586E-4</v>
      </c>
      <c r="U38" s="195">
        <f t="shared" si="12"/>
        <v>2.562472177794854E-7</v>
      </c>
      <c r="V38" s="195">
        <f t="shared" si="13"/>
        <v>6.0327494028846464E-6</v>
      </c>
      <c r="X38" s="151">
        <v>380</v>
      </c>
      <c r="Y38" s="195">
        <f t="shared" si="14"/>
        <v>0.13501684030912023</v>
      </c>
      <c r="Z38" s="195">
        <f t="shared" si="15"/>
        <v>6.4233621800696E-3</v>
      </c>
      <c r="AA38" s="195">
        <f t="shared" si="16"/>
        <v>5.5388161115954354E-3</v>
      </c>
      <c r="AB38" s="195">
        <f t="shared" si="17"/>
        <v>5.3157055119555357E-3</v>
      </c>
      <c r="AC38" s="195">
        <f t="shared" si="18"/>
        <v>1.7501724636032786E-6</v>
      </c>
      <c r="AD38" s="195">
        <f t="shared" si="19"/>
        <v>4.5472683255612923E-5</v>
      </c>
      <c r="AF38" s="151">
        <v>380</v>
      </c>
      <c r="AG38" s="167">
        <f>Toolbox!$AA28*Calculations!I38</f>
        <v>525939936608.04236</v>
      </c>
      <c r="AH38" s="167">
        <f>Toolbox!$AA28*Calculations!J38</f>
        <v>98660843568.826279</v>
      </c>
      <c r="AI38" s="167">
        <f>Toolbox!$AA28*Calculations!K38</f>
        <v>89111930421.961258</v>
      </c>
      <c r="AJ38" s="167">
        <f>Toolbox!$AA28*Calculations!L38</f>
        <v>87270761151.030136</v>
      </c>
    </row>
    <row r="39" spans="2:36">
      <c r="B39" s="151">
        <v>385</v>
      </c>
      <c r="C39" s="164">
        <f>SPD!N39</f>
        <v>6.8776024390602084E-3</v>
      </c>
      <c r="E39" s="151">
        <v>385</v>
      </c>
      <c r="F39" s="157">
        <v>0.736179800579567</v>
      </c>
      <c r="H39" s="151">
        <v>385</v>
      </c>
      <c r="I39" s="172">
        <v>0.64479799999999998</v>
      </c>
      <c r="J39" s="172">
        <v>0.155752</v>
      </c>
      <c r="K39" s="172">
        <v>0.13517299999999999</v>
      </c>
      <c r="L39" s="172">
        <v>0.130967</v>
      </c>
      <c r="M39" s="172">
        <v>6.3999999999999997E-5</v>
      </c>
      <c r="N39" s="172">
        <v>1.6672400000000002E-3</v>
      </c>
      <c r="O39" s="172"/>
      <c r="P39" s="151">
        <v>385</v>
      </c>
      <c r="Q39" s="195">
        <f t="shared" si="8"/>
        <v>4.434664297501144E-3</v>
      </c>
      <c r="R39" s="195">
        <f t="shared" si="9"/>
        <v>1.0712003350885056E-3</v>
      </c>
      <c r="S39" s="195">
        <f t="shared" si="10"/>
        <v>9.2966615449508545E-4</v>
      </c>
      <c r="T39" s="195">
        <f t="shared" si="11"/>
        <v>9.0073895863639834E-4</v>
      </c>
      <c r="U39" s="195">
        <f t="shared" si="12"/>
        <v>4.4016655609985333E-7</v>
      </c>
      <c r="V39" s="195">
        <f t="shared" si="13"/>
        <v>1.1466613890498743E-5</v>
      </c>
      <c r="X39" s="151">
        <v>385</v>
      </c>
      <c r="Y39" s="195">
        <f t="shared" si="14"/>
        <v>0.11475375629493233</v>
      </c>
      <c r="Z39" s="195">
        <f t="shared" si="15"/>
        <v>7.0297949282013871E-3</v>
      </c>
      <c r="AA39" s="195">
        <f t="shared" si="16"/>
        <v>5.8245514462398505E-3</v>
      </c>
      <c r="AB39" s="195">
        <f t="shared" si="17"/>
        <v>5.5302589455152526E-3</v>
      </c>
      <c r="AC39" s="195">
        <f t="shared" si="18"/>
        <v>3.0063443910169353E-6</v>
      </c>
      <c r="AD39" s="195">
        <f t="shared" si="19"/>
        <v>8.6431188606597394E-5</v>
      </c>
      <c r="AF39" s="151">
        <v>385</v>
      </c>
      <c r="AG39" s="167">
        <f>Toolbox!$AA29*Calculations!I39</f>
        <v>452889500802.23596</v>
      </c>
      <c r="AH39" s="167">
        <f>Toolbox!$AA29*Calculations!J39</f>
        <v>109396191565.34273</v>
      </c>
      <c r="AI39" s="167">
        <f>Toolbox!$AA29*Calculations!K39</f>
        <v>94942032220.851547</v>
      </c>
      <c r="AJ39" s="167">
        <f>Toolbox!$AA29*Calculations!L39</f>
        <v>91987846196.121017</v>
      </c>
    </row>
    <row r="40" spans="2:36">
      <c r="B40" s="151">
        <v>390</v>
      </c>
      <c r="C40" s="164">
        <f>SPD!N40</f>
        <v>7.1847765439203024E-3</v>
      </c>
      <c r="E40" s="151">
        <v>390</v>
      </c>
      <c r="F40" s="157">
        <v>0.752</v>
      </c>
      <c r="H40" s="151">
        <v>390</v>
      </c>
      <c r="I40" s="172">
        <v>0.47931400000000002</v>
      </c>
      <c r="J40" s="172">
        <v>0.16602700000000001</v>
      </c>
      <c r="K40" s="172">
        <v>0.137019</v>
      </c>
      <c r="L40" s="172">
        <v>0.13048599999999999</v>
      </c>
      <c r="M40" s="172">
        <v>1.2E-4</v>
      </c>
      <c r="N40" s="172">
        <v>3.0944200000000001E-3</v>
      </c>
      <c r="O40" s="172"/>
      <c r="P40" s="151">
        <v>390</v>
      </c>
      <c r="Q40" s="195">
        <f t="shared" si="8"/>
        <v>3.4437639843726158E-3</v>
      </c>
      <c r="R40" s="195">
        <f t="shared" si="9"/>
        <v>1.1928668952574562E-3</v>
      </c>
      <c r="S40" s="195">
        <f t="shared" si="10"/>
        <v>9.8445089727141602E-4</v>
      </c>
      <c r="T40" s="195">
        <f t="shared" si="11"/>
        <v>9.3751275210998447E-4</v>
      </c>
      <c r="U40" s="195">
        <f t="shared" si="12"/>
        <v>8.6217318527043635E-7</v>
      </c>
      <c r="V40" s="195">
        <f t="shared" si="13"/>
        <v>2.2232716233037861E-5</v>
      </c>
      <c r="X40" s="151">
        <v>390</v>
      </c>
      <c r="Y40" s="195">
        <f t="shared" si="14"/>
        <v>8.9112687339747462E-2</v>
      </c>
      <c r="Z40" s="195">
        <f t="shared" si="15"/>
        <v>7.8282365824758251E-3</v>
      </c>
      <c r="AA40" s="195">
        <f t="shared" si="16"/>
        <v>6.1677892324353261E-3</v>
      </c>
      <c r="AB40" s="195">
        <f t="shared" si="17"/>
        <v>5.7560386771099686E-3</v>
      </c>
      <c r="AC40" s="195">
        <f t="shared" si="18"/>
        <v>5.8886562000293806E-6</v>
      </c>
      <c r="AD40" s="195">
        <f t="shared" si="19"/>
        <v>1.6758217450461957E-4</v>
      </c>
      <c r="AF40" s="151">
        <v>390</v>
      </c>
      <c r="AG40" s="167">
        <f>Toolbox!$AA30*Calculations!I40</f>
        <v>356261392029.68573</v>
      </c>
      <c r="AH40" s="167">
        <f>Toolbox!$AA30*Calculations!J40</f>
        <v>123403468570.73366</v>
      </c>
      <c r="AI40" s="167">
        <f>Toolbox!$AA30*Calculations!K40</f>
        <v>101842591024.91376</v>
      </c>
      <c r="AJ40" s="167">
        <f>Toolbox!$AA30*Calculations!L40</f>
        <v>96986785281.434647</v>
      </c>
    </row>
    <row r="41" spans="2:36">
      <c r="B41" s="151">
        <v>395</v>
      </c>
      <c r="C41" s="164">
        <f>SPD!N41</f>
        <v>9.0324095895590456E-3</v>
      </c>
      <c r="E41" s="151">
        <v>395</v>
      </c>
      <c r="F41" s="157">
        <v>0.76714915881283607</v>
      </c>
      <c r="H41" s="151">
        <v>395</v>
      </c>
      <c r="I41" s="172">
        <v>0.32479400000000003</v>
      </c>
      <c r="J41" s="172">
        <v>0.18101900000000001</v>
      </c>
      <c r="K41" s="172">
        <v>0.14113800000000001</v>
      </c>
      <c r="L41" s="172">
        <v>0.13122900000000001</v>
      </c>
      <c r="M41" s="172">
        <v>2.1699999999999999E-4</v>
      </c>
      <c r="N41" s="172">
        <v>5.8803500000000003E-3</v>
      </c>
      <c r="O41" s="172"/>
      <c r="P41" s="151">
        <v>395</v>
      </c>
      <c r="Q41" s="195">
        <f t="shared" si="8"/>
        <v>2.9336724402312408E-3</v>
      </c>
      <c r="R41" s="195">
        <f t="shared" si="9"/>
        <v>1.6350377514923889E-3</v>
      </c>
      <c r="S41" s="195">
        <f t="shared" si="10"/>
        <v>1.2748162246511846E-3</v>
      </c>
      <c r="T41" s="195">
        <f t="shared" si="11"/>
        <v>1.1853140780282441E-3</v>
      </c>
      <c r="U41" s="195">
        <f t="shared" si="12"/>
        <v>1.9600328809343126E-6</v>
      </c>
      <c r="V41" s="195">
        <f t="shared" si="13"/>
        <v>5.311372972996354E-5</v>
      </c>
      <c r="X41" s="151">
        <v>395</v>
      </c>
      <c r="Y41" s="195">
        <f t="shared" si="14"/>
        <v>7.5913284449772578E-2</v>
      </c>
      <c r="Z41" s="195">
        <f t="shared" si="15"/>
        <v>1.0730000464300948E-2</v>
      </c>
      <c r="AA41" s="195">
        <f t="shared" si="16"/>
        <v>7.9869882850740429E-3</v>
      </c>
      <c r="AB41" s="195">
        <f t="shared" si="17"/>
        <v>7.2774622662979075E-3</v>
      </c>
      <c r="AC41" s="195">
        <f t="shared" si="18"/>
        <v>1.3387054913978728E-5</v>
      </c>
      <c r="AD41" s="195">
        <f t="shared" si="19"/>
        <v>4.0035208612842246E-4</v>
      </c>
      <c r="AF41" s="151">
        <v>395</v>
      </c>
      <c r="AG41" s="167">
        <f>Toolbox!$AA31*Calculations!I41</f>
        <v>307382749018.28699</v>
      </c>
      <c r="AH41" s="167">
        <f>Toolbox!$AA31*Calculations!J41</f>
        <v>171315103864.42264</v>
      </c>
      <c r="AI41" s="167">
        <f>Toolbox!$AA31*Calculations!K41</f>
        <v>133572006967.3177</v>
      </c>
      <c r="AJ41" s="167">
        <f>Toolbox!$AA31*Calculations!L41</f>
        <v>124194199310.70396</v>
      </c>
    </row>
    <row r="42" spans="2:36">
      <c r="B42" s="151">
        <v>400</v>
      </c>
      <c r="C42" s="164">
        <f>SPD!N42</f>
        <v>1.0880055782522944E-2</v>
      </c>
      <c r="E42" s="151">
        <v>400</v>
      </c>
      <c r="F42" s="157">
        <v>0.78099999999999992</v>
      </c>
      <c r="H42" s="151">
        <v>400</v>
      </c>
      <c r="I42" s="172">
        <v>0.201625</v>
      </c>
      <c r="J42" s="172">
        <v>0.20138</v>
      </c>
      <c r="K42" s="172">
        <v>0.14821500000000001</v>
      </c>
      <c r="L42" s="172">
        <v>0.13379199999999999</v>
      </c>
      <c r="M42" s="172">
        <v>3.9599999999999998E-4</v>
      </c>
      <c r="N42" s="172">
        <v>1.1427700000000001E-2</v>
      </c>
      <c r="O42" s="172"/>
      <c r="P42" s="151">
        <v>400</v>
      </c>
      <c r="Q42" s="195">
        <f t="shared" si="8"/>
        <v>2.1936912471511886E-3</v>
      </c>
      <c r="R42" s="195">
        <f t="shared" si="9"/>
        <v>2.1910256334844703E-3</v>
      </c>
      <c r="S42" s="195">
        <f t="shared" si="10"/>
        <v>1.6125874678066382E-3</v>
      </c>
      <c r="T42" s="195">
        <f t="shared" si="11"/>
        <v>1.4556644232553097E-3</v>
      </c>
      <c r="U42" s="195">
        <f t="shared" si="12"/>
        <v>4.3085020898790853E-6</v>
      </c>
      <c r="V42" s="195">
        <f t="shared" si="13"/>
        <v>1.2433401346593744E-4</v>
      </c>
      <c r="X42" s="151">
        <v>400</v>
      </c>
      <c r="Y42" s="195">
        <f t="shared" si="14"/>
        <v>5.6765133474423655E-2</v>
      </c>
      <c r="Z42" s="195">
        <f t="shared" si="15"/>
        <v>1.4378693117712445E-2</v>
      </c>
      <c r="AA42" s="195">
        <f t="shared" si="16"/>
        <v>1.0103195240986979E-2</v>
      </c>
      <c r="AB42" s="195">
        <f t="shared" si="17"/>
        <v>8.9373298680928987E-3</v>
      </c>
      <c r="AC42" s="195">
        <f t="shared" si="18"/>
        <v>2.9427135960448423E-5</v>
      </c>
      <c r="AD42" s="195">
        <f t="shared" si="19"/>
        <v>9.3718482812036544E-4</v>
      </c>
      <c r="AF42" s="151">
        <v>400</v>
      </c>
      <c r="AG42" s="167">
        <f>Toolbox!$AA32*Calculations!I42</f>
        <v>232758884647.92114</v>
      </c>
      <c r="AH42" s="167">
        <f>Toolbox!$AA32*Calculations!J42</f>
        <v>232476053021.19461</v>
      </c>
      <c r="AI42" s="167">
        <f>Toolbox!$AA32*Calculations!K42</f>
        <v>171101590021.53323</v>
      </c>
      <c r="AJ42" s="167">
        <f>Toolbox!$AA32*Calculations!L42</f>
        <v>154451465318.36163</v>
      </c>
    </row>
    <row r="43" spans="2:36">
      <c r="B43" s="151">
        <v>405</v>
      </c>
      <c r="C43" s="164">
        <f>SPD!N43</f>
        <v>1.1454002262049881E-2</v>
      </c>
      <c r="E43" s="151">
        <v>405</v>
      </c>
      <c r="F43" s="157">
        <v>0.792848564169089</v>
      </c>
      <c r="H43" s="151">
        <v>405</v>
      </c>
      <c r="I43" s="172">
        <v>0.116572</v>
      </c>
      <c r="J43" s="172">
        <v>0.22764699999999999</v>
      </c>
      <c r="K43" s="172">
        <v>0.158996</v>
      </c>
      <c r="L43" s="172">
        <v>0.13888200000000001</v>
      </c>
      <c r="M43" s="172">
        <v>6.4000000000000005E-4</v>
      </c>
      <c r="N43" s="172">
        <v>2.28112E-2</v>
      </c>
      <c r="O43" s="172"/>
      <c r="P43" s="151">
        <v>405</v>
      </c>
      <c r="Q43" s="195">
        <f t="shared" si="8"/>
        <v>1.3352159516916786E-3</v>
      </c>
      <c r="R43" s="195">
        <f t="shared" si="9"/>
        <v>2.6074692529488692E-3</v>
      </c>
      <c r="S43" s="195">
        <f t="shared" si="10"/>
        <v>1.8211405436568829E-3</v>
      </c>
      <c r="T43" s="195">
        <f t="shared" si="11"/>
        <v>1.5907547421580117E-3</v>
      </c>
      <c r="U43" s="195">
        <f t="shared" si="12"/>
        <v>7.3305614477119246E-6</v>
      </c>
      <c r="V43" s="195">
        <f t="shared" si="13"/>
        <v>2.6127953640007226E-4</v>
      </c>
      <c r="X43" s="151">
        <v>405</v>
      </c>
      <c r="Y43" s="195">
        <f t="shared" si="14"/>
        <v>3.4550765434008257E-2</v>
      </c>
      <c r="Z43" s="195">
        <f t="shared" si="15"/>
        <v>1.7111620981995444E-2</v>
      </c>
      <c r="AA43" s="195">
        <f t="shared" si="16"/>
        <v>1.1409823554481996E-2</v>
      </c>
      <c r="AB43" s="195">
        <f t="shared" si="17"/>
        <v>9.7667426934192995E-3</v>
      </c>
      <c r="AC43" s="195">
        <f t="shared" si="18"/>
        <v>5.0067848149586106E-5</v>
      </c>
      <c r="AD43" s="195">
        <f t="shared" si="19"/>
        <v>1.9694306536606281E-3</v>
      </c>
      <c r="AF43" s="151">
        <v>405</v>
      </c>
      <c r="AG43" s="167">
        <f>Toolbox!$AA33*Calculations!I43</f>
        <v>143442322744.60056</v>
      </c>
      <c r="AH43" s="167">
        <f>Toolbox!$AA33*Calculations!J43</f>
        <v>280120564508.11584</v>
      </c>
      <c r="AI43" s="167">
        <f>Toolbox!$AA33*Calculations!K43</f>
        <v>195645228246.06689</v>
      </c>
      <c r="AJ43" s="167">
        <f>Toolbox!$AA33*Calculations!L43</f>
        <v>170894868985.8252</v>
      </c>
    </row>
    <row r="44" spans="2:36">
      <c r="B44" s="151">
        <v>410</v>
      </c>
      <c r="C44" s="164">
        <f>SPD!N44</f>
        <v>1.2027961888901973E-2</v>
      </c>
      <c r="E44" s="151">
        <v>410</v>
      </c>
      <c r="F44" s="157">
        <v>0.80299999999999994</v>
      </c>
      <c r="H44" s="151">
        <v>410</v>
      </c>
      <c r="I44" s="172">
        <v>6.4144999999999994E-2</v>
      </c>
      <c r="J44" s="172">
        <v>0.26022899999999999</v>
      </c>
      <c r="K44" s="172">
        <v>0.17424300000000001</v>
      </c>
      <c r="L44" s="172">
        <v>0.14727999999999999</v>
      </c>
      <c r="M44" s="172">
        <v>1.2099999999999999E-3</v>
      </c>
      <c r="N44" s="172">
        <v>4.6155000000000002E-2</v>
      </c>
      <c r="O44" s="172"/>
      <c r="P44" s="151">
        <v>410</v>
      </c>
      <c r="Q44" s="195">
        <f t="shared" si="8"/>
        <v>7.7153361536361697E-4</v>
      </c>
      <c r="R44" s="195">
        <f t="shared" si="9"/>
        <v>3.1300244943870716E-3</v>
      </c>
      <c r="S44" s="195">
        <f t="shared" si="10"/>
        <v>2.0957881634079468E-3</v>
      </c>
      <c r="T44" s="195">
        <f t="shared" si="11"/>
        <v>1.7714782269974826E-3</v>
      </c>
      <c r="U44" s="195">
        <f t="shared" si="12"/>
        <v>1.4553833885571386E-5</v>
      </c>
      <c r="V44" s="195">
        <f t="shared" si="13"/>
        <v>5.5515058098227056E-4</v>
      </c>
      <c r="X44" s="151">
        <v>410</v>
      </c>
      <c r="Y44" s="195">
        <f t="shared" si="14"/>
        <v>1.996461840881017E-2</v>
      </c>
      <c r="Z44" s="195">
        <f t="shared" si="15"/>
        <v>2.0540910598175234E-2</v>
      </c>
      <c r="AA44" s="195">
        <f t="shared" si="16"/>
        <v>1.3130547906006023E-2</v>
      </c>
      <c r="AB44" s="195">
        <f t="shared" si="17"/>
        <v>1.0876329060385383E-2</v>
      </c>
      <c r="AC44" s="195">
        <f t="shared" si="18"/>
        <v>9.9402910701271077E-5</v>
      </c>
      <c r="AD44" s="195">
        <f t="shared" si="19"/>
        <v>4.1845243092818356E-3</v>
      </c>
      <c r="AF44" s="151">
        <v>410</v>
      </c>
      <c r="AG44" s="167">
        <f>Toolbox!$AA34*Calculations!I44</f>
        <v>83909181209.509552</v>
      </c>
      <c r="AH44" s="167">
        <f>Toolbox!$AA34*Calculations!J44</f>
        <v>340410044695.13538</v>
      </c>
      <c r="AI44" s="167">
        <f>Toolbox!$AA34*Calculations!K44</f>
        <v>227930274557.46472</v>
      </c>
      <c r="AJ44" s="167">
        <f>Toolbox!$AA34*Calculations!L44</f>
        <v>192659509058.17392</v>
      </c>
    </row>
    <row r="45" spans="2:36">
      <c r="B45" s="151">
        <v>415</v>
      </c>
      <c r="C45" s="164">
        <f>SPD!N45</f>
        <v>1.2155872215309432E-2</v>
      </c>
      <c r="E45" s="151">
        <v>415</v>
      </c>
      <c r="F45" s="157">
        <v>0.81195658451080899</v>
      </c>
      <c r="H45" s="151">
        <v>415</v>
      </c>
      <c r="I45" s="172">
        <v>3.4280999999999999E-2</v>
      </c>
      <c r="J45" s="172">
        <v>0.29935400000000001</v>
      </c>
      <c r="K45" s="172">
        <v>0.194663</v>
      </c>
      <c r="L45" s="172">
        <v>0.15976099999999999</v>
      </c>
      <c r="M45" s="172">
        <v>2.1800000000000001E-3</v>
      </c>
      <c r="N45" s="172">
        <v>7.9476599999999994E-2</v>
      </c>
      <c r="O45" s="172"/>
      <c r="P45" s="151">
        <v>415</v>
      </c>
      <c r="Q45" s="195">
        <f t="shared" si="8"/>
        <v>4.1671545541302263E-4</v>
      </c>
      <c r="R45" s="195">
        <f t="shared" si="9"/>
        <v>3.6389089711417397E-3</v>
      </c>
      <c r="S45" s="195">
        <f t="shared" si="10"/>
        <v>2.3662985530487797E-3</v>
      </c>
      <c r="T45" s="195">
        <f t="shared" si="11"/>
        <v>1.94203430099005E-3</v>
      </c>
      <c r="U45" s="195">
        <f t="shared" si="12"/>
        <v>2.6499801429374563E-5</v>
      </c>
      <c r="V45" s="195">
        <f t="shared" si="13"/>
        <v>9.6610739370726147E-4</v>
      </c>
      <c r="X45" s="151">
        <v>415</v>
      </c>
      <c r="Y45" s="195">
        <f t="shared" si="14"/>
        <v>1.0783153043116089E-2</v>
      </c>
      <c r="Z45" s="195">
        <f t="shared" si="15"/>
        <v>2.3880485275805271E-2</v>
      </c>
      <c r="AA45" s="195">
        <f t="shared" si="16"/>
        <v>1.4825351652046612E-2</v>
      </c>
      <c r="AB45" s="195">
        <f t="shared" si="17"/>
        <v>1.1923490665715821E-2</v>
      </c>
      <c r="AC45" s="195">
        <f t="shared" si="18"/>
        <v>1.8099405392396493E-4</v>
      </c>
      <c r="AD45" s="195">
        <f t="shared" si="19"/>
        <v>7.2821681411048746E-3</v>
      </c>
      <c r="AF45" s="151">
        <v>415</v>
      </c>
      <c r="AG45" s="167">
        <f>Toolbox!$AA35*Calculations!I45</f>
        <v>45873141068.199684</v>
      </c>
      <c r="AH45" s="167">
        <f>Toolbox!$AA35*Calculations!J45</f>
        <v>400580737765.22998</v>
      </c>
      <c r="AI45" s="167">
        <f>Toolbox!$AA35*Calculations!K45</f>
        <v>260488412232.98492</v>
      </c>
      <c r="AJ45" s="167">
        <f>Toolbox!$AA35*Calculations!L45</f>
        <v>213784279635.8522</v>
      </c>
    </row>
    <row r="46" spans="2:36">
      <c r="B46" s="151">
        <v>420</v>
      </c>
      <c r="C46" s="164">
        <f>SPD!N46</f>
        <v>1.2283782541716888E-2</v>
      </c>
      <c r="E46" s="151">
        <v>420</v>
      </c>
      <c r="F46" s="157">
        <v>0.82</v>
      </c>
      <c r="H46" s="151">
        <v>420</v>
      </c>
      <c r="I46" s="172">
        <v>1.8069000000000002E-2</v>
      </c>
      <c r="J46" s="172">
        <v>0.34492</v>
      </c>
      <c r="K46" s="172">
        <v>0.22078</v>
      </c>
      <c r="L46" s="172">
        <v>0.176986</v>
      </c>
      <c r="M46" s="172">
        <v>4.0000000000000001E-3</v>
      </c>
      <c r="N46" s="172">
        <v>0.137237</v>
      </c>
      <c r="O46" s="172"/>
      <c r="P46" s="151">
        <v>420</v>
      </c>
      <c r="Q46" s="195">
        <f t="shared" si="8"/>
        <v>2.2195566674628248E-4</v>
      </c>
      <c r="R46" s="195">
        <f t="shared" si="9"/>
        <v>4.2369222742889888E-3</v>
      </c>
      <c r="S46" s="195">
        <f t="shared" si="10"/>
        <v>2.7120135095602548E-3</v>
      </c>
      <c r="T46" s="195">
        <f t="shared" si="11"/>
        <v>2.1740575369283053E-3</v>
      </c>
      <c r="U46" s="195">
        <f t="shared" si="12"/>
        <v>4.9135130166867556E-5</v>
      </c>
      <c r="V46" s="195">
        <f t="shared" si="13"/>
        <v>1.6857894646776007E-3</v>
      </c>
      <c r="X46" s="151">
        <v>420</v>
      </c>
      <c r="Y46" s="195">
        <f t="shared" si="14"/>
        <v>5.7434440988992459E-3</v>
      </c>
      <c r="Z46" s="195">
        <f t="shared" si="15"/>
        <v>2.7804971431902442E-2</v>
      </c>
      <c r="AA46" s="195">
        <f t="shared" si="16"/>
        <v>1.6991327621161342E-2</v>
      </c>
      <c r="AB46" s="195">
        <f t="shared" si="17"/>
        <v>1.334804165666824E-2</v>
      </c>
      <c r="AC46" s="195">
        <f t="shared" si="18"/>
        <v>3.3559369954844806E-4</v>
      </c>
      <c r="AD46" s="195">
        <f t="shared" si="19"/>
        <v>1.2706871319116781E-2</v>
      </c>
      <c r="AF46" s="151">
        <v>420</v>
      </c>
      <c r="AG46" s="167">
        <f>Toolbox!$AA36*Calculations!I46</f>
        <v>24727846808.548325</v>
      </c>
      <c r="AH46" s="167">
        <f>Toolbox!$AA36*Calculations!J46</f>
        <v>472031043289.86041</v>
      </c>
      <c r="AI46" s="167">
        <f>Toolbox!$AA36*Calculations!K46</f>
        <v>302142565631.26343</v>
      </c>
      <c r="AJ46" s="167">
        <f>Toolbox!$AA36*Calculations!L46</f>
        <v>242209457925.6037</v>
      </c>
    </row>
    <row r="47" spans="2:36">
      <c r="B47" s="151">
        <v>425</v>
      </c>
      <c r="C47" s="164">
        <f>SPD!N47</f>
        <v>1.1840086612474531E-2</v>
      </c>
      <c r="E47" s="151">
        <v>425</v>
      </c>
      <c r="F47" s="157">
        <v>0.82745009778767498</v>
      </c>
      <c r="H47" s="151">
        <v>425</v>
      </c>
      <c r="I47" s="172">
        <v>9.4909999999999994E-3</v>
      </c>
      <c r="J47" s="172">
        <v>0.396478</v>
      </c>
      <c r="K47" s="172">
        <v>0.25290200000000002</v>
      </c>
      <c r="L47" s="172">
        <v>0.19947000000000001</v>
      </c>
      <c r="M47" s="172">
        <v>7.3000000000000001E-3</v>
      </c>
      <c r="N47" s="172">
        <v>0.18709600000000001</v>
      </c>
      <c r="O47" s="172"/>
      <c r="P47" s="151">
        <v>425</v>
      </c>
      <c r="Q47" s="195">
        <f t="shared" si="8"/>
        <v>1.1237426203899576E-4</v>
      </c>
      <c r="R47" s="195">
        <f t="shared" si="9"/>
        <v>4.694333859940677E-3</v>
      </c>
      <c r="S47" s="195">
        <f t="shared" si="10"/>
        <v>2.9943815844680338E-3</v>
      </c>
      <c r="T47" s="195">
        <f t="shared" si="11"/>
        <v>2.3617420765902949E-3</v>
      </c>
      <c r="U47" s="195">
        <f t="shared" si="12"/>
        <v>8.6432632271064079E-5</v>
      </c>
      <c r="V47" s="195">
        <f t="shared" si="13"/>
        <v>2.215232844847535E-3</v>
      </c>
      <c r="X47" s="151">
        <v>425</v>
      </c>
      <c r="Y47" s="195">
        <f t="shared" si="14"/>
        <v>2.9078567879674906E-3</v>
      </c>
      <c r="Z47" s="195">
        <f t="shared" si="15"/>
        <v>3.0806753208463517E-2</v>
      </c>
      <c r="AA47" s="195">
        <f t="shared" si="16"/>
        <v>1.8760422226922601E-2</v>
      </c>
      <c r="AB47" s="195">
        <f t="shared" si="17"/>
        <v>1.4500366749802818E-2</v>
      </c>
      <c r="AC47" s="195">
        <f t="shared" si="18"/>
        <v>5.9033621620720276E-4</v>
      </c>
      <c r="AD47" s="195">
        <f t="shared" si="19"/>
        <v>1.669762404568231E-2</v>
      </c>
      <c r="AF47" s="151">
        <v>425</v>
      </c>
      <c r="AG47" s="167">
        <f>Toolbox!$AA37*Calculations!I47</f>
        <v>12668539693.030312</v>
      </c>
      <c r="AH47" s="167">
        <f>Toolbox!$AA37*Calculations!J47</f>
        <v>529216866548.65369</v>
      </c>
      <c r="AI47" s="167">
        <f>Toolbox!$AA37*Calculations!K47</f>
        <v>337572334363.79224</v>
      </c>
      <c r="AJ47" s="167">
        <f>Toolbox!$AA37*Calculations!L47</f>
        <v>266251565964.46704</v>
      </c>
    </row>
    <row r="48" spans="2:36">
      <c r="B48" s="151">
        <v>430</v>
      </c>
      <c r="C48" s="164">
        <f>SPD!N48</f>
        <v>1.1396403830557325E-2</v>
      </c>
      <c r="E48" s="151">
        <v>430</v>
      </c>
      <c r="F48" s="157">
        <v>0.83499999999999996</v>
      </c>
      <c r="H48" s="151">
        <v>430</v>
      </c>
      <c r="I48" s="172">
        <v>5.0049999999999999E-3</v>
      </c>
      <c r="J48" s="172">
        <v>0.45363500000000001</v>
      </c>
      <c r="K48" s="172">
        <v>0.29134599999999999</v>
      </c>
      <c r="L48" s="172">
        <v>0.22776399999999999</v>
      </c>
      <c r="M48" s="172">
        <v>1.1599999999999999E-2</v>
      </c>
      <c r="N48" s="172">
        <v>0.25386500000000001</v>
      </c>
      <c r="O48" s="172"/>
      <c r="P48" s="151">
        <v>430</v>
      </c>
      <c r="Q48" s="195">
        <f t="shared" si="8"/>
        <v>5.7039001171939411E-5</v>
      </c>
      <c r="R48" s="195">
        <f t="shared" si="9"/>
        <v>5.1698076516748723E-3</v>
      </c>
      <c r="S48" s="195">
        <f t="shared" si="10"/>
        <v>3.3202966704175543E-3</v>
      </c>
      <c r="T48" s="195">
        <f t="shared" si="11"/>
        <v>2.5956905220630585E-3</v>
      </c>
      <c r="U48" s="195">
        <f t="shared" si="12"/>
        <v>1.3219828443446498E-4</v>
      </c>
      <c r="V48" s="195">
        <f t="shared" si="13"/>
        <v>2.8931480584444354E-3</v>
      </c>
      <c r="X48" s="151">
        <v>430</v>
      </c>
      <c r="Y48" s="195">
        <f t="shared" si="14"/>
        <v>1.4759718437942046E-3</v>
      </c>
      <c r="Z48" s="195">
        <f t="shared" si="15"/>
        <v>3.3927068932925609E-2</v>
      </c>
      <c r="AA48" s="195">
        <f t="shared" si="16"/>
        <v>2.0802347896734321E-2</v>
      </c>
      <c r="AB48" s="195">
        <f t="shared" si="17"/>
        <v>1.5936737932552344E-2</v>
      </c>
      <c r="AC48" s="195">
        <f t="shared" si="18"/>
        <v>9.0291632883952237E-4</v>
      </c>
      <c r="AD48" s="195">
        <f t="shared" si="19"/>
        <v>2.1807503757793813E-2</v>
      </c>
      <c r="AF48" s="151">
        <v>430</v>
      </c>
      <c r="AG48" s="167">
        <f>Toolbox!$AA38*Calculations!I48</f>
        <v>6505956289.3421001</v>
      </c>
      <c r="AH48" s="167">
        <f>Toolbox!$AA38*Calculations!J48</f>
        <v>589676220043.09766</v>
      </c>
      <c r="AI48" s="167">
        <f>Toolbox!$AA38*Calculations!K48</f>
        <v>378718150064.86786</v>
      </c>
      <c r="AJ48" s="167">
        <f>Toolbox!$AA38*Calculations!L48</f>
        <v>296068457199.94287</v>
      </c>
    </row>
    <row r="49" spans="2:36">
      <c r="B49" s="151">
        <v>435</v>
      </c>
      <c r="C49" s="164">
        <f>SPD!N49</f>
        <v>1.2591666602135213E-2</v>
      </c>
      <c r="E49" s="151">
        <v>435</v>
      </c>
      <c r="F49" s="157">
        <v>0.84311802433849192</v>
      </c>
      <c r="H49" s="151">
        <v>435</v>
      </c>
      <c r="I49" s="172">
        <v>2.6619999999999999E-3</v>
      </c>
      <c r="J49" s="172">
        <v>0.51570700000000003</v>
      </c>
      <c r="K49" s="172">
        <v>0.33619399999999999</v>
      </c>
      <c r="L49" s="172">
        <v>0.26223999999999997</v>
      </c>
      <c r="M49" s="172">
        <v>1.6840000000000001E-2</v>
      </c>
      <c r="N49" s="172">
        <v>0.32067899999999999</v>
      </c>
      <c r="O49" s="172"/>
      <c r="P49" s="151">
        <v>435</v>
      </c>
      <c r="Q49" s="195">
        <f t="shared" si="8"/>
        <v>3.3519016494883932E-5</v>
      </c>
      <c r="R49" s="195">
        <f t="shared" si="9"/>
        <v>6.4936106083873443E-3</v>
      </c>
      <c r="S49" s="195">
        <f t="shared" si="10"/>
        <v>4.2332427616382454E-3</v>
      </c>
      <c r="T49" s="195">
        <f t="shared" si="11"/>
        <v>3.3020386497439377E-3</v>
      </c>
      <c r="U49" s="195">
        <f t="shared" si="12"/>
        <v>2.1204366557995698E-4</v>
      </c>
      <c r="V49" s="195">
        <f t="shared" si="13"/>
        <v>4.0378830543061177E-3</v>
      </c>
      <c r="X49" s="151">
        <v>435</v>
      </c>
      <c r="Y49" s="195">
        <f t="shared" si="14"/>
        <v>8.6735608200763366E-4</v>
      </c>
      <c r="Z49" s="195">
        <f t="shared" si="15"/>
        <v>4.2614578641617447E-2</v>
      </c>
      <c r="AA49" s="195">
        <f t="shared" si="16"/>
        <v>2.6522144675661379E-2</v>
      </c>
      <c r="AB49" s="195">
        <f t="shared" si="17"/>
        <v>2.027349722812977E-2</v>
      </c>
      <c r="AC49" s="195">
        <f t="shared" si="18"/>
        <v>1.4482615179022386E-3</v>
      </c>
      <c r="AD49" s="195">
        <f t="shared" si="19"/>
        <v>3.0436102163280902E-2</v>
      </c>
      <c r="AF49" s="151">
        <v>435</v>
      </c>
      <c r="AG49" s="167">
        <f>Toolbox!$AA39*Calculations!I49</f>
        <v>3867686796.4323406</v>
      </c>
      <c r="AH49" s="167">
        <f>Toolbox!$AA39*Calculations!J49</f>
        <v>749283679461.95837</v>
      </c>
      <c r="AI49" s="167">
        <f>Toolbox!$AA39*Calculations!K49</f>
        <v>488464723831.62067</v>
      </c>
      <c r="AJ49" s="167">
        <f>Toolbox!$AA39*Calculations!L49</f>
        <v>381015095979.11981</v>
      </c>
    </row>
    <row r="50" spans="2:36">
      <c r="B50" s="151">
        <v>440</v>
      </c>
      <c r="C50" s="164">
        <f>SPD!N50</f>
        <v>1.3786942521038249E-2</v>
      </c>
      <c r="E50" s="151">
        <v>440</v>
      </c>
      <c r="F50" s="157">
        <v>0.85099999999999998</v>
      </c>
      <c r="H50" s="151">
        <v>440</v>
      </c>
      <c r="I50" s="172">
        <v>1.4289999999999999E-3</v>
      </c>
      <c r="J50" s="172">
        <v>0.58089900000000005</v>
      </c>
      <c r="K50" s="172">
        <v>0.38672899999999999</v>
      </c>
      <c r="L50" s="172">
        <v>0.302647</v>
      </c>
      <c r="M50" s="172">
        <v>2.3E-2</v>
      </c>
      <c r="N50" s="172">
        <v>0.40158700000000008</v>
      </c>
      <c r="O50" s="172"/>
      <c r="P50" s="151">
        <v>440</v>
      </c>
      <c r="Q50" s="195">
        <f t="shared" si="8"/>
        <v>1.9701540862563656E-5</v>
      </c>
      <c r="R50" s="195">
        <f t="shared" si="9"/>
        <v>8.0088211235285981E-3</v>
      </c>
      <c r="S50" s="195">
        <f t="shared" si="10"/>
        <v>5.3318104942186011E-3</v>
      </c>
      <c r="T50" s="195">
        <f t="shared" si="11"/>
        <v>4.1725767931646632E-3</v>
      </c>
      <c r="U50" s="195">
        <f t="shared" si="12"/>
        <v>3.170996779838797E-4</v>
      </c>
      <c r="V50" s="195">
        <f t="shared" si="13"/>
        <v>5.5366568861961885E-3</v>
      </c>
      <c r="X50" s="151">
        <v>440</v>
      </c>
      <c r="Y50" s="195">
        <f t="shared" si="14"/>
        <v>5.0980765783133046E-4</v>
      </c>
      <c r="Z50" s="195">
        <f t="shared" si="15"/>
        <v>5.2558208087567282E-2</v>
      </c>
      <c r="AA50" s="195">
        <f t="shared" si="16"/>
        <v>3.3404899570689851E-2</v>
      </c>
      <c r="AB50" s="195">
        <f t="shared" si="17"/>
        <v>2.561833249799856E-2</v>
      </c>
      <c r="AC50" s="195">
        <f t="shared" si="18"/>
        <v>2.1657957086677233E-3</v>
      </c>
      <c r="AD50" s="195">
        <f t="shared" si="19"/>
        <v>4.1733317276633687E-2</v>
      </c>
      <c r="AF50" s="151">
        <v>440</v>
      </c>
      <c r="AG50" s="167">
        <f>Toolbox!$AA40*Calculations!I50</f>
        <v>2299448270.7026482</v>
      </c>
      <c r="AH50" s="167">
        <f>Toolbox!$AA40*Calculations!J50</f>
        <v>934742617916.65344</v>
      </c>
      <c r="AI50" s="167">
        <f>Toolbox!$AA40*Calculations!K50</f>
        <v>622297641903.82397</v>
      </c>
      <c r="AJ50" s="167">
        <f>Toolbox!$AA40*Calculations!L50</f>
        <v>486998684942.85822</v>
      </c>
    </row>
    <row r="51" spans="2:36">
      <c r="B51" s="151">
        <v>445</v>
      </c>
      <c r="C51" s="164">
        <f>SPD!N51</f>
        <v>1.4585116631038949E-2</v>
      </c>
      <c r="E51" s="151">
        <v>445</v>
      </c>
      <c r="F51" s="157">
        <v>0.85782780485835697</v>
      </c>
      <c r="H51" s="151">
        <v>445</v>
      </c>
      <c r="I51" s="172">
        <v>7.7499999999999997E-4</v>
      </c>
      <c r="J51" s="172">
        <v>0.64730500000000002</v>
      </c>
      <c r="K51" s="172">
        <v>0.442023</v>
      </c>
      <c r="L51" s="172">
        <v>0.34855000000000003</v>
      </c>
      <c r="M51" s="172">
        <v>2.98E-2</v>
      </c>
      <c r="N51" s="172">
        <v>0.47400199999999998</v>
      </c>
      <c r="O51" s="172"/>
      <c r="P51" s="151">
        <v>445</v>
      </c>
      <c r="Q51" s="195">
        <f t="shared" si="8"/>
        <v>1.1303465389055184E-5</v>
      </c>
      <c r="R51" s="195">
        <f t="shared" si="9"/>
        <v>9.4410189208546675E-3</v>
      </c>
      <c r="S51" s="195">
        <f t="shared" si="10"/>
        <v>6.4469570086017293E-3</v>
      </c>
      <c r="T51" s="195">
        <f t="shared" si="11"/>
        <v>5.0836424017486259E-3</v>
      </c>
      <c r="U51" s="195">
        <f t="shared" si="12"/>
        <v>4.3463647560496071E-4</v>
      </c>
      <c r="V51" s="195">
        <f t="shared" si="13"/>
        <v>6.9133744533457237E-3</v>
      </c>
      <c r="X51" s="151">
        <v>445</v>
      </c>
      <c r="Y51" s="195">
        <f t="shared" si="14"/>
        <v>2.9249454423748442E-4</v>
      </c>
      <c r="Z51" s="195">
        <f t="shared" si="15"/>
        <v>6.195706326155502E-2</v>
      </c>
      <c r="AA51" s="195">
        <f t="shared" si="16"/>
        <v>4.0391523975282943E-2</v>
      </c>
      <c r="AB51" s="195">
        <f t="shared" si="17"/>
        <v>3.1211993884034624E-2</v>
      </c>
      <c r="AC51" s="195">
        <f t="shared" si="18"/>
        <v>2.9685738556427732E-3</v>
      </c>
      <c r="AD51" s="195">
        <f t="shared" si="19"/>
        <v>5.2110516408010552E-2</v>
      </c>
      <c r="AF51" s="151">
        <v>445</v>
      </c>
      <c r="AG51" s="167">
        <f>Toolbox!$AA41*Calculations!I51</f>
        <v>1334265920.5268216</v>
      </c>
      <c r="AH51" s="167">
        <f>Toolbox!$AA41*Calculations!J51</f>
        <v>1114421937660.1475</v>
      </c>
      <c r="AI51" s="167">
        <f>Toolbox!$AA41*Calculations!K51</f>
        <v>761001580631.00305</v>
      </c>
      <c r="AJ51" s="167">
        <f>Toolbox!$AA41*Calculations!L51</f>
        <v>600075337547.90161</v>
      </c>
    </row>
    <row r="52" spans="2:36">
      <c r="B52" s="151">
        <v>450</v>
      </c>
      <c r="C52" s="164">
        <f>SPD!N52</f>
        <v>1.5383422214291171E-2</v>
      </c>
      <c r="E52" s="151">
        <v>450</v>
      </c>
      <c r="F52" s="157">
        <v>0.8640000000000001</v>
      </c>
      <c r="H52" s="151">
        <v>450</v>
      </c>
      <c r="I52" s="172">
        <v>4.2499999999999998E-4</v>
      </c>
      <c r="J52" s="172">
        <v>0.71323400000000003</v>
      </c>
      <c r="K52" s="172">
        <v>0.50115200000000004</v>
      </c>
      <c r="L52" s="172">
        <v>0.39946700000000002</v>
      </c>
      <c r="M52" s="172">
        <v>3.7999999999999999E-2</v>
      </c>
      <c r="N52" s="172">
        <v>0.55371499999999996</v>
      </c>
      <c r="O52" s="172"/>
      <c r="P52" s="151">
        <v>450</v>
      </c>
      <c r="Q52" s="195">
        <f t="shared" si="8"/>
        <v>6.5379544410737471E-6</v>
      </c>
      <c r="R52" s="195">
        <f t="shared" si="9"/>
        <v>1.097197975958775E-2</v>
      </c>
      <c r="S52" s="195">
        <f t="shared" si="10"/>
        <v>7.7094328095364496E-3</v>
      </c>
      <c r="T52" s="195">
        <f t="shared" si="11"/>
        <v>6.1451695216762515E-3</v>
      </c>
      <c r="U52" s="195">
        <f t="shared" si="12"/>
        <v>5.845700441430645E-4</v>
      </c>
      <c r="V52" s="195">
        <f t="shared" si="13"/>
        <v>8.5180316313862355E-3</v>
      </c>
      <c r="X52" s="151">
        <v>450</v>
      </c>
      <c r="Y52" s="195">
        <f t="shared" si="14"/>
        <v>1.6917962223681797E-4</v>
      </c>
      <c r="Z52" s="195">
        <f t="shared" si="15"/>
        <v>7.2004054834341968E-2</v>
      </c>
      <c r="AA52" s="195">
        <f t="shared" si="16"/>
        <v>4.830119694403897E-2</v>
      </c>
      <c r="AB52" s="195">
        <f t="shared" si="17"/>
        <v>3.7729442468443584E-2</v>
      </c>
      <c r="AC52" s="195">
        <f t="shared" si="18"/>
        <v>3.9926224494151426E-3</v>
      </c>
      <c r="AD52" s="195">
        <f t="shared" si="19"/>
        <v>6.4205841891941826E-2</v>
      </c>
      <c r="AF52" s="151">
        <v>450</v>
      </c>
      <c r="AG52" s="167">
        <f>Toolbox!$AA42*Calculations!I52</f>
        <v>780414225.91005325</v>
      </c>
      <c r="AH52" s="167">
        <f>Toolbox!$AA42*Calculations!J52</f>
        <v>1309689317653.4846</v>
      </c>
      <c r="AI52" s="167">
        <f>Toolbox!$AA42*Calculations!K52</f>
        <v>920249765043.00024</v>
      </c>
      <c r="AJ52" s="167">
        <f>Toolbox!$AA42*Calculations!L52</f>
        <v>733528775486.14417</v>
      </c>
    </row>
    <row r="53" spans="2:36">
      <c r="B53" s="151">
        <v>455</v>
      </c>
      <c r="C53" s="164">
        <f>SPD!N53</f>
        <v>1.5436274461403719E-2</v>
      </c>
      <c r="E53" s="151">
        <v>455</v>
      </c>
      <c r="F53" s="157">
        <v>0.87007075622808105</v>
      </c>
      <c r="H53" s="151">
        <v>455</v>
      </c>
      <c r="I53" s="172">
        <v>2.3599999999999999E-4</v>
      </c>
      <c r="J53" s="172">
        <v>0.77724499999999996</v>
      </c>
      <c r="K53" s="172">
        <v>0.56325599999999998</v>
      </c>
      <c r="L53" s="172">
        <v>0.45490999999999998</v>
      </c>
      <c r="M53" s="172">
        <v>4.8000000000000001E-2</v>
      </c>
      <c r="N53" s="172">
        <v>0.62965400000000005</v>
      </c>
      <c r="O53" s="172"/>
      <c r="P53" s="151">
        <v>455</v>
      </c>
      <c r="Q53" s="195">
        <f t="shared" si="8"/>
        <v>3.6429607728912774E-6</v>
      </c>
      <c r="R53" s="195">
        <f t="shared" si="9"/>
        <v>1.1997767143753732E-2</v>
      </c>
      <c r="S53" s="195">
        <f t="shared" si="10"/>
        <v>8.6945742080324125E-3</v>
      </c>
      <c r="T53" s="195">
        <f t="shared" si="11"/>
        <v>7.0221156152371657E-3</v>
      </c>
      <c r="U53" s="195">
        <f t="shared" si="12"/>
        <v>7.4094117414737854E-4</v>
      </c>
      <c r="V53" s="195">
        <f t="shared" si="13"/>
        <v>9.7195119597206971E-3</v>
      </c>
      <c r="X53" s="151">
        <v>455</v>
      </c>
      <c r="Y53" s="195">
        <f t="shared" si="14"/>
        <v>9.4267210476320411E-5</v>
      </c>
      <c r="Z53" s="195">
        <f t="shared" si="15"/>
        <v>7.8735825460633999E-2</v>
      </c>
      <c r="AA53" s="195">
        <f t="shared" si="16"/>
        <v>5.4473312309986435E-2</v>
      </c>
      <c r="AB53" s="195">
        <f t="shared" si="17"/>
        <v>4.3113620572599057E-2</v>
      </c>
      <c r="AC53" s="195">
        <f t="shared" si="18"/>
        <v>5.0606396876416758E-3</v>
      </c>
      <c r="AD53" s="195">
        <f t="shared" si="19"/>
        <v>7.3262166091663847E-2</v>
      </c>
      <c r="AF53" s="151">
        <v>455</v>
      </c>
      <c r="AG53" s="167">
        <f>Toolbox!$AA43*Calculations!I53</f>
        <v>439679953.56460685</v>
      </c>
      <c r="AH53" s="167">
        <f>Toolbox!$AA43*Calculations!J53</f>
        <v>1448046803001.3682</v>
      </c>
      <c r="AI53" s="167">
        <f>Toolbox!$AA43*Calculations!K53</f>
        <v>1049374457309.2635</v>
      </c>
      <c r="AJ53" s="167">
        <f>Toolbox!$AA43*Calculations!L53</f>
        <v>847520371508.7937</v>
      </c>
    </row>
    <row r="54" spans="2:36">
      <c r="B54" s="151">
        <v>460</v>
      </c>
      <c r="C54" s="164">
        <f>SPD!N54</f>
        <v>1.5489126708516267E-2</v>
      </c>
      <c r="E54" s="151">
        <v>460</v>
      </c>
      <c r="F54" s="157">
        <v>0.87599999999999989</v>
      </c>
      <c r="H54" s="151">
        <v>460</v>
      </c>
      <c r="I54" s="172">
        <v>1.3300000000000001E-4</v>
      </c>
      <c r="J54" s="172">
        <v>0.83754600000000001</v>
      </c>
      <c r="K54" s="172">
        <v>0.62717000000000001</v>
      </c>
      <c r="L54" s="172">
        <v>0.51408399999999999</v>
      </c>
      <c r="M54" s="172">
        <v>0.06</v>
      </c>
      <c r="N54" s="172">
        <v>0.70804900000000004</v>
      </c>
      <c r="O54" s="172"/>
      <c r="P54" s="151">
        <v>460</v>
      </c>
      <c r="Q54" s="195">
        <f t="shared" si="8"/>
        <v>2.0600538522326637E-6</v>
      </c>
      <c r="R54" s="195">
        <f t="shared" si="9"/>
        <v>1.2972856118210965E-2</v>
      </c>
      <c r="S54" s="195">
        <f t="shared" si="10"/>
        <v>9.7143155977801477E-3</v>
      </c>
      <c r="T54" s="195">
        <f t="shared" si="11"/>
        <v>7.9627122148208766E-3</v>
      </c>
      <c r="U54" s="195">
        <f t="shared" si="12"/>
        <v>9.2934760251097597E-4</v>
      </c>
      <c r="V54" s="195">
        <f t="shared" si="13"/>
        <v>1.0967060676838235E-2</v>
      </c>
      <c r="X54" s="151">
        <v>460</v>
      </c>
      <c r="Y54" s="195">
        <f t="shared" si="14"/>
        <v>5.3307060434484365E-5</v>
      </c>
      <c r="Z54" s="195">
        <f t="shared" si="15"/>
        <v>8.5134885750900058E-2</v>
      </c>
      <c r="AA54" s="195">
        <f t="shared" si="16"/>
        <v>6.086220380369866E-2</v>
      </c>
      <c r="AB54" s="195">
        <f t="shared" si="17"/>
        <v>4.8888593120521052E-2</v>
      </c>
      <c r="AC54" s="195">
        <f t="shared" si="18"/>
        <v>6.3474585095013311E-3</v>
      </c>
      <c r="AD54" s="195">
        <f t="shared" si="19"/>
        <v>8.2665737145403637E-2</v>
      </c>
      <c r="AF54" s="151">
        <v>460</v>
      </c>
      <c r="AG54" s="167">
        <f>Toolbox!$AA44*Calculations!I54</f>
        <v>251366373.10308495</v>
      </c>
      <c r="AH54" s="167">
        <f>Toolbox!$AA44*Calculations!J54</f>
        <v>1582939100202.9805</v>
      </c>
      <c r="AI54" s="167">
        <f>Toolbox!$AA44*Calculations!K54</f>
        <v>1185334197135.803</v>
      </c>
      <c r="AJ54" s="167">
        <f>Toolbox!$AA44*Calculations!L54</f>
        <v>971604740979.89709</v>
      </c>
    </row>
    <row r="55" spans="2:36">
      <c r="B55" s="151">
        <v>465</v>
      </c>
      <c r="C55" s="164">
        <f>SPD!N55</f>
        <v>1.5295203662518733E-2</v>
      </c>
      <c r="E55" s="151">
        <v>465</v>
      </c>
      <c r="F55" s="157">
        <v>0.88163917022932092</v>
      </c>
      <c r="H55" s="151">
        <v>465</v>
      </c>
      <c r="I55" s="172">
        <v>7.4999999999999993E-5</v>
      </c>
      <c r="J55" s="172">
        <v>0.89163599999999998</v>
      </c>
      <c r="K55" s="172">
        <v>0.69113999999999998</v>
      </c>
      <c r="L55" s="172">
        <v>0.57565500000000003</v>
      </c>
      <c r="M55" s="172">
        <v>7.3899999999999993E-2</v>
      </c>
      <c r="N55" s="172">
        <v>0.78521600000000003</v>
      </c>
      <c r="O55" s="172"/>
      <c r="P55" s="151">
        <v>465</v>
      </c>
      <c r="Q55" s="195">
        <f t="shared" si="8"/>
        <v>1.1471402746889048E-6</v>
      </c>
      <c r="R55" s="195">
        <f t="shared" si="9"/>
        <v>1.3637754212833553E-2</v>
      </c>
      <c r="S55" s="195">
        <f t="shared" si="10"/>
        <v>1.0571127059313196E-2</v>
      </c>
      <c r="T55" s="195">
        <f t="shared" si="11"/>
        <v>8.8047604643472221E-3</v>
      </c>
      <c r="U55" s="195">
        <f t="shared" si="12"/>
        <v>1.1303155506601343E-3</v>
      </c>
      <c r="V55" s="195">
        <f t="shared" si="13"/>
        <v>1.2010038639068309E-2</v>
      </c>
      <c r="X55" s="151">
        <v>465</v>
      </c>
      <c r="Y55" s="195">
        <f t="shared" si="14"/>
        <v>2.9684018154864259E-5</v>
      </c>
      <c r="Z55" s="195">
        <f t="shared" si="15"/>
        <v>8.9498306019026141E-2</v>
      </c>
      <c r="AA55" s="195">
        <f t="shared" si="16"/>
        <v>6.62303054747094E-2</v>
      </c>
      <c r="AB55" s="195">
        <f t="shared" si="17"/>
        <v>5.4058509243110266E-2</v>
      </c>
      <c r="AC55" s="195">
        <f t="shared" si="18"/>
        <v>7.7200727059223428E-3</v>
      </c>
      <c r="AD55" s="195">
        <f t="shared" si="19"/>
        <v>9.0527327831798607E-2</v>
      </c>
      <c r="AF55" s="151">
        <v>465</v>
      </c>
      <c r="AG55" s="167">
        <f>Toolbox!$AA45*Calculations!I55</f>
        <v>141494726.54411936</v>
      </c>
      <c r="AH55" s="167">
        <f>Toolbox!$AA45*Calculations!J55</f>
        <v>1682157226625.2322</v>
      </c>
      <c r="AI55" s="167">
        <f>Toolbox!$AA45*Calculations!K55</f>
        <v>1303902204049.3687</v>
      </c>
      <c r="AJ55" s="167">
        <f>Toolbox!$AA45*Calculations!L55</f>
        <v>1086028624116.7339</v>
      </c>
    </row>
    <row r="56" spans="2:36">
      <c r="B56" s="151">
        <v>470</v>
      </c>
      <c r="C56" s="164">
        <f>SPD!N56</f>
        <v>1.5101149143269675E-2</v>
      </c>
      <c r="E56" s="151">
        <v>470</v>
      </c>
      <c r="F56" s="157">
        <v>0.88700000000000001</v>
      </c>
      <c r="H56" s="151">
        <v>470</v>
      </c>
      <c r="I56" s="172">
        <v>4.3000000000000002E-5</v>
      </c>
      <c r="J56" s="172">
        <v>0.93749899999999997</v>
      </c>
      <c r="K56" s="172">
        <v>0.75372899999999998</v>
      </c>
      <c r="L56" s="172">
        <v>0.63848499999999997</v>
      </c>
      <c r="M56" s="172">
        <v>9.0980000000000005E-2</v>
      </c>
      <c r="N56" s="172">
        <v>0.86029100000000003</v>
      </c>
      <c r="O56" s="172"/>
      <c r="P56" s="151">
        <v>470</v>
      </c>
      <c r="Q56" s="195">
        <f t="shared" si="8"/>
        <v>6.4934941316059603E-7</v>
      </c>
      <c r="R56" s="195">
        <f t="shared" si="9"/>
        <v>1.4157312220666176E-2</v>
      </c>
      <c r="S56" s="195">
        <f t="shared" si="10"/>
        <v>1.1382174042607508E-2</v>
      </c>
      <c r="T56" s="195">
        <f t="shared" si="11"/>
        <v>9.6418572107405381E-3</v>
      </c>
      <c r="U56" s="195">
        <f t="shared" si="12"/>
        <v>1.3739025490546752E-3</v>
      </c>
      <c r="V56" s="195">
        <f t="shared" si="13"/>
        <v>1.2991382697612613E-2</v>
      </c>
      <c r="X56" s="151">
        <v>470</v>
      </c>
      <c r="Y56" s="195">
        <f t="shared" si="14"/>
        <v>1.6802914337862377E-5</v>
      </c>
      <c r="Z56" s="195">
        <f t="shared" si="15"/>
        <v>9.2907926170112468E-2</v>
      </c>
      <c r="AA56" s="195">
        <f t="shared" si="16"/>
        <v>7.1311683189359029E-2</v>
      </c>
      <c r="AB56" s="195">
        <f t="shared" si="17"/>
        <v>5.9198024666104292E-2</v>
      </c>
      <c r="AC56" s="195">
        <f t="shared" si="18"/>
        <v>9.3837756751728122E-3</v>
      </c>
      <c r="AD56" s="195">
        <f t="shared" si="19"/>
        <v>9.7924344442106501E-2</v>
      </c>
      <c r="AF56" s="151">
        <v>470</v>
      </c>
      <c r="AG56" s="167">
        <f>Toolbox!$AA46*Calculations!I56</f>
        <v>80955635.067891732</v>
      </c>
      <c r="AH56" s="167">
        <f>Toolbox!$AA46*Calculations!J56</f>
        <v>1765019230709.6145</v>
      </c>
      <c r="AI56" s="167">
        <f>Toolbox!$AA46*Calculations!K56</f>
        <v>1419037438699.6968</v>
      </c>
      <c r="AJ56" s="167">
        <f>Toolbox!$AA46*Calculations!L56</f>
        <v>1202068805960.9963</v>
      </c>
    </row>
    <row r="57" spans="2:36">
      <c r="B57" s="151">
        <v>475</v>
      </c>
      <c r="C57" s="164">
        <f>SPD!N57</f>
        <v>1.5170961439828786E-2</v>
      </c>
      <c r="E57" s="151">
        <v>475</v>
      </c>
      <c r="F57" s="157">
        <v>0.89199756285463494</v>
      </c>
      <c r="H57" s="151">
        <v>475</v>
      </c>
      <c r="I57" s="172">
        <v>2.5000000000000001E-5</v>
      </c>
      <c r="J57" s="172">
        <v>0.97286300000000003</v>
      </c>
      <c r="K57" s="172">
        <v>0.81325000000000003</v>
      </c>
      <c r="L57" s="172">
        <v>0.70119699999999996</v>
      </c>
      <c r="M57" s="172">
        <v>0.11260000000000001</v>
      </c>
      <c r="N57" s="172">
        <v>0.91773400000000005</v>
      </c>
      <c r="O57" s="172"/>
      <c r="P57" s="151">
        <v>475</v>
      </c>
      <c r="Q57" s="195">
        <f t="shared" si="8"/>
        <v>3.7927403599571969E-7</v>
      </c>
      <c r="R57" s="195">
        <f t="shared" si="9"/>
        <v>1.4759267059236154E-2</v>
      </c>
      <c r="S57" s="195">
        <f t="shared" si="10"/>
        <v>1.2337784390940762E-2</v>
      </c>
      <c r="T57" s="195">
        <f t="shared" si="11"/>
        <v>1.0637832648723625E-2</v>
      </c>
      <c r="U57" s="195">
        <f t="shared" si="12"/>
        <v>1.7082502581247214E-3</v>
      </c>
      <c r="V57" s="195">
        <f t="shared" si="13"/>
        <v>1.3922907126019832E-2</v>
      </c>
      <c r="X57" s="151">
        <v>475</v>
      </c>
      <c r="Y57" s="195">
        <f t="shared" si="14"/>
        <v>9.8142987554148632E-6</v>
      </c>
      <c r="Z57" s="195">
        <f t="shared" si="15"/>
        <v>9.6858278809645468E-2</v>
      </c>
      <c r="AA57" s="195">
        <f t="shared" si="16"/>
        <v>7.7298780395720385E-2</v>
      </c>
      <c r="AB57" s="195">
        <f t="shared" si="17"/>
        <v>6.5313006173907437E-2</v>
      </c>
      <c r="AC57" s="195">
        <f t="shared" si="18"/>
        <v>1.1667375703122393E-2</v>
      </c>
      <c r="AD57" s="195">
        <f t="shared" si="19"/>
        <v>0.10494583869770625</v>
      </c>
      <c r="AF57" s="151">
        <v>475</v>
      </c>
      <c r="AG57" s="167">
        <f>Toolbox!$AA47*Calculations!I57</f>
        <v>47787850.514216691</v>
      </c>
      <c r="AH57" s="167">
        <f>Toolbox!$AA47*Calculations!J57</f>
        <v>1859641264592.4956</v>
      </c>
      <c r="AI57" s="167">
        <f>Toolbox!$AA47*Calculations!K57</f>
        <v>1554538777227.469</v>
      </c>
      <c r="AJ57" s="167">
        <f>Toolbox!$AA47*Calculations!L57</f>
        <v>1340347896680.6877</v>
      </c>
    </row>
    <row r="58" spans="2:36">
      <c r="B58" s="151">
        <v>480</v>
      </c>
      <c r="C58" s="164">
        <f>SPD!N58</f>
        <v>1.5240773736387899E-2</v>
      </c>
      <c r="E58" s="151">
        <v>480</v>
      </c>
      <c r="F58" s="157">
        <v>0.89599999999999991</v>
      </c>
      <c r="H58" s="151">
        <v>480</v>
      </c>
      <c r="I58" s="172">
        <v>1.5E-5</v>
      </c>
      <c r="J58" s="172">
        <v>0.99419299999999999</v>
      </c>
      <c r="K58" s="172">
        <v>0.86678299999999997</v>
      </c>
      <c r="L58" s="172">
        <v>0.76131499999999996</v>
      </c>
      <c r="M58" s="172">
        <v>0.13902</v>
      </c>
      <c r="N58" s="172">
        <v>0.96560500000000016</v>
      </c>
      <c r="O58" s="172"/>
      <c r="P58" s="151">
        <v>480</v>
      </c>
      <c r="Q58" s="195">
        <f t="shared" si="8"/>
        <v>2.2861160604581851E-7</v>
      </c>
      <c r="R58" s="195">
        <f t="shared" si="9"/>
        <v>1.5152270563300695E-2</v>
      </c>
      <c r="S58" s="195">
        <f t="shared" si="10"/>
        <v>1.3210443581547512E-2</v>
      </c>
      <c r="T58" s="195">
        <f t="shared" si="11"/>
        <v>1.1603029657118152E-2</v>
      </c>
      <c r="U58" s="195">
        <f t="shared" si="12"/>
        <v>2.118772364832646E-3</v>
      </c>
      <c r="V58" s="195">
        <f t="shared" si="13"/>
        <v>1.471656732372484E-2</v>
      </c>
      <c r="X58" s="151">
        <v>480</v>
      </c>
      <c r="Y58" s="195">
        <f t="shared" si="14"/>
        <v>5.915676760731891E-6</v>
      </c>
      <c r="Z58" s="195">
        <f t="shared" si="15"/>
        <v>9.9437379981612534E-2</v>
      </c>
      <c r="AA58" s="195">
        <f t="shared" si="16"/>
        <v>8.2766171379189721E-2</v>
      </c>
      <c r="AB58" s="195">
        <f t="shared" si="17"/>
        <v>7.1239017632253945E-2</v>
      </c>
      <c r="AC58" s="195">
        <f t="shared" si="18"/>
        <v>1.4471248045958564E-2</v>
      </c>
      <c r="AD58" s="195">
        <f t="shared" si="19"/>
        <v>0.11092816224086056</v>
      </c>
      <c r="AF58" s="151">
        <v>480</v>
      </c>
      <c r="AG58" s="167">
        <f>Toolbox!$AA48*Calculations!I58</f>
        <v>29107860.557804756</v>
      </c>
      <c r="AH58" s="167">
        <f>Toolbox!$AA48*Calculations!J58</f>
        <v>1929255414103.0388</v>
      </c>
      <c r="AI58" s="167">
        <f>Toolbox!$AA48*Calculations!K58</f>
        <v>1682013246525.0452</v>
      </c>
      <c r="AJ58" s="167">
        <f>Toolbox!$AA48*Calculations!L58</f>
        <v>1477350057371.0083</v>
      </c>
    </row>
    <row r="59" spans="2:36">
      <c r="B59" s="151">
        <v>485</v>
      </c>
      <c r="C59" s="164">
        <f>SPD!N59</f>
        <v>1.4773254853969438E-2</v>
      </c>
      <c r="E59" s="151">
        <v>485</v>
      </c>
      <c r="F59" s="157">
        <v>0.89874557835213809</v>
      </c>
      <c r="H59" s="151">
        <v>485</v>
      </c>
      <c r="I59" s="172">
        <v>9.0000000000000002E-6</v>
      </c>
      <c r="J59" s="172">
        <v>0.99989399999999995</v>
      </c>
      <c r="K59" s="172">
        <v>0.91268099999999996</v>
      </c>
      <c r="L59" s="172">
        <v>0.81740999999999997</v>
      </c>
      <c r="M59" s="172">
        <v>0.16930000000000001</v>
      </c>
      <c r="N59" s="172">
        <v>0.99062099999999997</v>
      </c>
      <c r="O59" s="172"/>
      <c r="P59" s="151">
        <v>485</v>
      </c>
      <c r="Q59" s="195">
        <f t="shared" si="8"/>
        <v>1.3295929368572494E-7</v>
      </c>
      <c r="R59" s="195">
        <f t="shared" si="9"/>
        <v>1.4771688888954916E-2</v>
      </c>
      <c r="S59" s="195">
        <f t="shared" si="10"/>
        <v>1.348326901337568E-2</v>
      </c>
      <c r="T59" s="195">
        <f t="shared" si="11"/>
        <v>1.2075806250183159E-2</v>
      </c>
      <c r="U59" s="195">
        <f t="shared" si="12"/>
        <v>2.501112046777026E-3</v>
      </c>
      <c r="V59" s="195">
        <f t="shared" si="13"/>
        <v>1.4634696496694058E-2</v>
      </c>
      <c r="X59" s="151">
        <v>485</v>
      </c>
      <c r="Y59" s="195">
        <f t="shared" si="14"/>
        <v>3.4405261280668739E-6</v>
      </c>
      <c r="Z59" s="195">
        <f t="shared" si="15"/>
        <v>9.6939797562670058E-2</v>
      </c>
      <c r="AA59" s="195">
        <f t="shared" si="16"/>
        <v>8.4475479345110904E-2</v>
      </c>
      <c r="AB59" s="195">
        <f t="shared" si="17"/>
        <v>7.4141719861306077E-2</v>
      </c>
      <c r="AC59" s="195">
        <f t="shared" si="18"/>
        <v>1.7082633991454911E-2</v>
      </c>
      <c r="AD59" s="195">
        <f t="shared" si="19"/>
        <v>0.11031104955528048</v>
      </c>
      <c r="AF59" s="151">
        <v>485</v>
      </c>
      <c r="AG59" s="167">
        <f>Toolbox!$AA49*Calculations!I59</f>
        <v>17105320.332677085</v>
      </c>
      <c r="AH59" s="167">
        <f>Toolbox!$AA49*Calculations!J59</f>
        <v>1900389685413.5356</v>
      </c>
      <c r="AI59" s="167">
        <f>Toolbox!$AA49*Calculations!K59</f>
        <v>1734633429616.4504</v>
      </c>
      <c r="AJ59" s="167">
        <f>Toolbox!$AA49*Calculations!L59</f>
        <v>1553562210348.175</v>
      </c>
    </row>
    <row r="60" spans="2:36">
      <c r="B60" s="151">
        <v>490</v>
      </c>
      <c r="C60" s="164">
        <f>SPD!N60</f>
        <v>1.4305735971550977E-2</v>
      </c>
      <c r="E60" s="151">
        <v>490</v>
      </c>
      <c r="F60" s="157">
        <v>0.90200000000000002</v>
      </c>
      <c r="H60" s="151">
        <v>490</v>
      </c>
      <c r="I60" s="172">
        <v>5.0000000000000004E-6</v>
      </c>
      <c r="J60" s="172">
        <v>0.99014899999999995</v>
      </c>
      <c r="K60" s="172">
        <v>0.95051200000000002</v>
      </c>
      <c r="L60" s="172">
        <v>0.86915399999999998</v>
      </c>
      <c r="M60" s="172">
        <v>0.20802000000000001</v>
      </c>
      <c r="N60" s="172">
        <v>1</v>
      </c>
      <c r="O60" s="172"/>
      <c r="P60" s="151">
        <v>490</v>
      </c>
      <c r="Q60" s="195">
        <f t="shared" si="8"/>
        <v>7.1528679857754894E-8</v>
      </c>
      <c r="R60" s="195">
        <f t="shared" si="9"/>
        <v>1.4164810166495227E-2</v>
      </c>
      <c r="S60" s="195">
        <f t="shared" si="10"/>
        <v>1.3597773709790862E-2</v>
      </c>
      <c r="T60" s="195">
        <f t="shared" si="11"/>
        <v>1.2433887642617417E-2</v>
      </c>
      <c r="U60" s="195">
        <f t="shared" si="12"/>
        <v>2.9758791968020342E-3</v>
      </c>
      <c r="V60" s="195">
        <f t="shared" si="13"/>
        <v>1.4305735971550977E-2</v>
      </c>
      <c r="X60" s="151">
        <v>490</v>
      </c>
      <c r="Y60" s="195">
        <f t="shared" si="14"/>
        <v>1.8509145553858967E-6</v>
      </c>
      <c r="Z60" s="195">
        <f t="shared" si="15"/>
        <v>9.2957131738701682E-2</v>
      </c>
      <c r="AA60" s="195">
        <f t="shared" si="16"/>
        <v>8.51928750380503E-2</v>
      </c>
      <c r="AB60" s="195">
        <f t="shared" si="17"/>
        <v>7.6340228990665823E-2</v>
      </c>
      <c r="AC60" s="195">
        <f t="shared" si="18"/>
        <v>2.0325300974525264E-2</v>
      </c>
      <c r="AD60" s="195">
        <f t="shared" si="19"/>
        <v>0.10783146408529913</v>
      </c>
      <c r="AF60" s="151">
        <v>490</v>
      </c>
      <c r="AG60" s="167">
        <f>Toolbox!$AA50*Calculations!I60</f>
        <v>9297090.606037423</v>
      </c>
      <c r="AH60" s="167">
        <f>Toolbox!$AA50*Calculations!J60</f>
        <v>1841100993295.4692</v>
      </c>
      <c r="AI60" s="167">
        <f>Toolbox!$AA50*Calculations!K60</f>
        <v>1767399237225.1685</v>
      </c>
      <c r="AJ60" s="167">
        <f>Toolbox!$AA50*Calculations!L60</f>
        <v>1616120697719.9697</v>
      </c>
    </row>
    <row r="61" spans="2:36">
      <c r="B61" s="151">
        <v>495</v>
      </c>
      <c r="C61" s="164">
        <f>SPD!N61</f>
        <v>1.4341496695965437E-2</v>
      </c>
      <c r="E61" s="151">
        <v>495</v>
      </c>
      <c r="F61" s="157">
        <v>0.90727012373681504</v>
      </c>
      <c r="H61" s="151">
        <v>495</v>
      </c>
      <c r="I61" s="172">
        <v>3.0000000000000001E-6</v>
      </c>
      <c r="J61" s="172">
        <v>0.96519999999999995</v>
      </c>
      <c r="K61" s="172">
        <v>0.979437</v>
      </c>
      <c r="L61" s="172">
        <v>0.91588400000000003</v>
      </c>
      <c r="M61" s="172">
        <v>0.2586</v>
      </c>
      <c r="N61" s="172">
        <v>0.99202199999999996</v>
      </c>
      <c r="O61" s="172"/>
      <c r="P61" s="151">
        <v>495</v>
      </c>
      <c r="Q61" s="195">
        <f t="shared" si="8"/>
        <v>4.3024490087896311E-8</v>
      </c>
      <c r="R61" s="195">
        <f t="shared" si="9"/>
        <v>1.3842412610945839E-2</v>
      </c>
      <c r="S61" s="195">
        <f t="shared" si="10"/>
        <v>1.4046592499406299E-2</v>
      </c>
      <c r="T61" s="195">
        <f t="shared" si="11"/>
        <v>1.3135147359887609E-2</v>
      </c>
      <c r="U61" s="195">
        <f t="shared" si="12"/>
        <v>3.7087110455766618E-3</v>
      </c>
      <c r="V61" s="195">
        <f t="shared" si="13"/>
        <v>1.4227080235325025E-2</v>
      </c>
      <c r="X61" s="151">
        <v>495</v>
      </c>
      <c r="Y61" s="195">
        <f t="shared" si="14"/>
        <v>1.1133248243936351E-6</v>
      </c>
      <c r="Z61" s="195">
        <f t="shared" si="15"/>
        <v>9.0841384920270787E-2</v>
      </c>
      <c r="AA61" s="195">
        <f t="shared" si="16"/>
        <v>8.8004817924767526E-2</v>
      </c>
      <c r="AB61" s="195">
        <f t="shared" si="17"/>
        <v>8.0645747018257288E-2</v>
      </c>
      <c r="AC61" s="195">
        <f t="shared" si="18"/>
        <v>2.5330553844355706E-2</v>
      </c>
      <c r="AD61" s="195">
        <f t="shared" si="19"/>
        <v>0.10723858559146852</v>
      </c>
      <c r="AF61" s="151">
        <v>495</v>
      </c>
      <c r="AG61" s="167">
        <f>Toolbox!$AA51*Calculations!I61</f>
        <v>5649261.840644842</v>
      </c>
      <c r="AH61" s="167">
        <f>Toolbox!$AA51*Calculations!J61</f>
        <v>1817555842863.467</v>
      </c>
      <c r="AI61" s="167">
        <f>Toolbox!$AA51*Calculations!K61</f>
        <v>1844365356471.8872</v>
      </c>
      <c r="AJ61" s="167">
        <f>Toolbox!$AA51*Calculations!L61</f>
        <v>1724689510552.3867</v>
      </c>
    </row>
    <row r="62" spans="2:36">
      <c r="B62" s="151">
        <v>500</v>
      </c>
      <c r="C62" s="164">
        <f>SPD!N62</f>
        <v>1.4377125947128373E-2</v>
      </c>
      <c r="E62" s="151">
        <v>500</v>
      </c>
      <c r="F62" s="157">
        <v>0.91299999999999992</v>
      </c>
      <c r="H62" s="151">
        <v>500</v>
      </c>
      <c r="I62" s="172">
        <v>1.9999999999999999E-6</v>
      </c>
      <c r="J62" s="172">
        <v>0.92438399999999998</v>
      </c>
      <c r="K62" s="172">
        <v>0.99689700000000003</v>
      </c>
      <c r="L62" s="172">
        <v>0.95524799999999999</v>
      </c>
      <c r="M62" s="172">
        <v>0.32300000000000001</v>
      </c>
      <c r="N62" s="172">
        <v>0.96595200000000003</v>
      </c>
      <c r="O62" s="172"/>
      <c r="P62" s="151">
        <v>500</v>
      </c>
      <c r="Q62" s="195">
        <f t="shared" si="8"/>
        <v>2.8754251894256746E-8</v>
      </c>
      <c r="R62" s="195">
        <f t="shared" si="9"/>
        <v>1.3289985191510314E-2</v>
      </c>
      <c r="S62" s="195">
        <f t="shared" si="10"/>
        <v>1.4332513725314435E-2</v>
      </c>
      <c r="T62" s="195">
        <f t="shared" si="11"/>
        <v>1.3733720806742485E-2</v>
      </c>
      <c r="U62" s="195">
        <f t="shared" si="12"/>
        <v>4.6438116809224645E-3</v>
      </c>
      <c r="V62" s="195">
        <f t="shared" si="13"/>
        <v>1.3887613562880546E-2</v>
      </c>
      <c r="X62" s="151">
        <v>500</v>
      </c>
      <c r="Y62" s="195">
        <f t="shared" si="14"/>
        <v>7.4406047289214992E-7</v>
      </c>
      <c r="Z62" s="195">
        <f t="shared" si="15"/>
        <v>8.7216057944410216E-2</v>
      </c>
      <c r="AA62" s="195">
        <f t="shared" si="16"/>
        <v>8.9796173759140549E-2</v>
      </c>
      <c r="AB62" s="195">
        <f t="shared" si="17"/>
        <v>8.4320803067823955E-2</v>
      </c>
      <c r="AC62" s="195">
        <f t="shared" si="18"/>
        <v>3.1717305657163783E-2</v>
      </c>
      <c r="AD62" s="195">
        <f t="shared" si="19"/>
        <v>0.10467980858267656</v>
      </c>
      <c r="AF62" s="151">
        <v>500</v>
      </c>
      <c r="AG62" s="167">
        <f>Toolbox!$AA52*Calculations!I62</f>
        <v>3813667.7212917446</v>
      </c>
      <c r="AH62" s="167">
        <f>Toolbox!$AA52*Calculations!J62</f>
        <v>1762646711439.2739</v>
      </c>
      <c r="AI62" s="167">
        <f>Toolbox!$AA52*Calculations!K62</f>
        <v>1900916955176.2883</v>
      </c>
      <c r="AJ62" s="167">
        <f>Toolbox!$AA52*Calculations!L62</f>
        <v>1821499231714.2483</v>
      </c>
    </row>
    <row r="63" spans="2:36">
      <c r="B63" s="151">
        <v>505</v>
      </c>
      <c r="C63" s="164">
        <f>SPD!N63</f>
        <v>1.4275102703945941E-2</v>
      </c>
      <c r="E63" s="151">
        <v>505</v>
      </c>
      <c r="F63" s="157">
        <v>0.91742392670060402</v>
      </c>
      <c r="H63" s="151">
        <v>505</v>
      </c>
      <c r="I63" s="172">
        <v>9.9999999999999995E-7</v>
      </c>
      <c r="J63" s="172">
        <v>0.86674200000000001</v>
      </c>
      <c r="K63" s="172">
        <v>0.99871399999999999</v>
      </c>
      <c r="L63" s="172">
        <v>0.98297900000000005</v>
      </c>
      <c r="M63" s="172">
        <v>0.4073</v>
      </c>
      <c r="N63" s="172">
        <v>0.92229899999999998</v>
      </c>
      <c r="O63" s="172"/>
      <c r="P63" s="151">
        <v>505</v>
      </c>
      <c r="Q63" s="195">
        <f t="shared" si="8"/>
        <v>1.4275102703945941E-8</v>
      </c>
      <c r="R63" s="195">
        <f t="shared" si="9"/>
        <v>1.2372831067823513E-2</v>
      </c>
      <c r="S63" s="195">
        <f t="shared" si="10"/>
        <v>1.4256744921868666E-2</v>
      </c>
      <c r="T63" s="195">
        <f t="shared" si="11"/>
        <v>1.4032126180822078E-2</v>
      </c>
      <c r="U63" s="195">
        <f t="shared" si="12"/>
        <v>5.8142493313171817E-3</v>
      </c>
      <c r="V63" s="195">
        <f t="shared" si="13"/>
        <v>1.3165912948746637E-2</v>
      </c>
      <c r="X63" s="151">
        <v>505</v>
      </c>
      <c r="Y63" s="195">
        <f t="shared" si="14"/>
        <v>3.6939022818408036E-7</v>
      </c>
      <c r="Z63" s="195">
        <f t="shared" si="15"/>
        <v>8.119719742329233E-2</v>
      </c>
      <c r="AA63" s="195">
        <f t="shared" si="16"/>
        <v>8.9321466476794023E-2</v>
      </c>
      <c r="AB63" s="195">
        <f t="shared" si="17"/>
        <v>8.6152919879882106E-2</v>
      </c>
      <c r="AC63" s="195">
        <f t="shared" si="18"/>
        <v>3.9711412925279264E-2</v>
      </c>
      <c r="AD63" s="195">
        <f t="shared" si="19"/>
        <v>9.9239890356303637E-2</v>
      </c>
      <c r="AF63" s="151">
        <v>505</v>
      </c>
      <c r="AG63" s="167">
        <f>Toolbox!$AA53*Calculations!I63</f>
        <v>1912235.5742855277</v>
      </c>
      <c r="AH63" s="167">
        <f>Toolbox!$AA53*Calculations!J63</f>
        <v>1657414886127.387</v>
      </c>
      <c r="AI63" s="167">
        <f>Toolbox!$AA53*Calculations!K63</f>
        <v>1909776439336.9966</v>
      </c>
      <c r="AJ63" s="167">
        <f>Toolbox!$AA53*Calculations!L63</f>
        <v>1879687412575.614</v>
      </c>
    </row>
    <row r="64" spans="2:36">
      <c r="B64" s="151">
        <v>510</v>
      </c>
      <c r="C64" s="164">
        <f>SPD!N64</f>
        <v>1.4173079460763511E-2</v>
      </c>
      <c r="E64" s="151">
        <v>510</v>
      </c>
      <c r="F64" s="157">
        <v>0.92099999999999993</v>
      </c>
      <c r="H64" s="151">
        <v>510</v>
      </c>
      <c r="I64" s="172">
        <v>9.9999999999999995E-7</v>
      </c>
      <c r="J64" s="172">
        <v>0.79544899999999996</v>
      </c>
      <c r="K64" s="172">
        <v>0.98414500000000005</v>
      </c>
      <c r="L64" s="172">
        <v>0.99760400000000005</v>
      </c>
      <c r="M64" s="172">
        <v>0.503</v>
      </c>
      <c r="N64" s="172">
        <v>0.8628880000000001</v>
      </c>
      <c r="O64" s="172"/>
      <c r="P64" s="151">
        <v>510</v>
      </c>
      <c r="Q64" s="195">
        <f t="shared" si="8"/>
        <v>1.4173079460763509E-8</v>
      </c>
      <c r="R64" s="195">
        <f t="shared" si="9"/>
        <v>1.1273961883984874E-2</v>
      </c>
      <c r="S64" s="195">
        <f t="shared" si="10"/>
        <v>1.3948365285913106E-2</v>
      </c>
      <c r="T64" s="195">
        <f t="shared" si="11"/>
        <v>1.4139120762375522E-2</v>
      </c>
      <c r="U64" s="195">
        <f t="shared" si="12"/>
        <v>7.1290589687640462E-3</v>
      </c>
      <c r="V64" s="195">
        <f t="shared" si="13"/>
        <v>1.2229780189739305E-2</v>
      </c>
      <c r="X64" s="151">
        <v>510</v>
      </c>
      <c r="Y64" s="195">
        <f t="shared" si="14"/>
        <v>3.6675021992208581E-7</v>
      </c>
      <c r="Z64" s="195">
        <f t="shared" si="15"/>
        <v>7.3985824571483602E-2</v>
      </c>
      <c r="AA64" s="195">
        <f t="shared" si="16"/>
        <v>8.7389404041358365E-2</v>
      </c>
      <c r="AB64" s="195">
        <f t="shared" si="17"/>
        <v>8.6809833557351293E-2</v>
      </c>
      <c r="AC64" s="195">
        <f t="shared" si="18"/>
        <v>4.8691583099536417E-2</v>
      </c>
      <c r="AD64" s="195">
        <f t="shared" si="19"/>
        <v>9.2183660171242618E-2</v>
      </c>
      <c r="AF64" s="151">
        <v>510</v>
      </c>
      <c r="AG64" s="167">
        <f>Toolbox!$AA54*Calculations!I64</f>
        <v>1917366.6616882167</v>
      </c>
      <c r="AH64" s="167">
        <f>Toolbox!$AA54*Calculations!J64</f>
        <v>1525167393673.2302</v>
      </c>
      <c r="AI64" s="167">
        <f>Toolbox!$AA54*Calculations!K64</f>
        <v>1886966813267.1501</v>
      </c>
      <c r="AJ64" s="167">
        <f>Toolbox!$AA54*Calculations!L64</f>
        <v>1912772651166.812</v>
      </c>
    </row>
    <row r="65" spans="2:36">
      <c r="B65" s="151">
        <v>515</v>
      </c>
      <c r="C65" s="164">
        <f>SPD!N65</f>
        <v>1.397508074396874E-2</v>
      </c>
      <c r="E65" s="151">
        <v>515</v>
      </c>
      <c r="F65" s="157">
        <v>0.92453416946076994</v>
      </c>
      <c r="H65" s="151">
        <v>515</v>
      </c>
      <c r="I65" s="172">
        <v>0</v>
      </c>
      <c r="J65" s="172">
        <v>0.71505799999999997</v>
      </c>
      <c r="K65" s="172">
        <v>0.95400399999999996</v>
      </c>
      <c r="L65" s="172">
        <v>0.99875700000000001</v>
      </c>
      <c r="M65" s="172">
        <v>0.60819999999999996</v>
      </c>
      <c r="N65" s="172">
        <v>0.78523300000000007</v>
      </c>
      <c r="O65" s="172"/>
      <c r="P65" s="151">
        <v>515</v>
      </c>
      <c r="Q65" s="195">
        <f t="shared" si="8"/>
        <v>0</v>
      </c>
      <c r="R65" s="195">
        <f t="shared" si="9"/>
        <v>9.9929932866207986E-3</v>
      </c>
      <c r="S65" s="195">
        <f t="shared" si="10"/>
        <v>1.3332282930069153E-2</v>
      </c>
      <c r="T65" s="195">
        <f t="shared" si="11"/>
        <v>1.3957709718603988E-2</v>
      </c>
      <c r="U65" s="195">
        <f t="shared" si="12"/>
        <v>8.4996441084817867E-3</v>
      </c>
      <c r="V65" s="195">
        <f t="shared" si="13"/>
        <v>1.0973694577828806E-2</v>
      </c>
      <c r="X65" s="151">
        <v>515</v>
      </c>
      <c r="Y65" s="195">
        <f t="shared" si="14"/>
        <v>0</v>
      </c>
      <c r="Z65" s="195">
        <f t="shared" si="15"/>
        <v>6.5579417054638295E-2</v>
      </c>
      <c r="AA65" s="195">
        <f t="shared" si="16"/>
        <v>8.3529520190168072E-2</v>
      </c>
      <c r="AB65" s="195">
        <f t="shared" si="17"/>
        <v>8.5696025790946276E-2</v>
      </c>
      <c r="AC65" s="195">
        <f t="shared" si="18"/>
        <v>5.8052700817591431E-2</v>
      </c>
      <c r="AD65" s="195">
        <f t="shared" si="19"/>
        <v>8.2715741091920814E-2</v>
      </c>
      <c r="AF65" s="151">
        <v>515</v>
      </c>
      <c r="AG65" s="167">
        <f>Toolbox!$AA55*Calculations!I65</f>
        <v>0</v>
      </c>
      <c r="AH65" s="167">
        <f>Toolbox!$AA55*Calculations!J65</f>
        <v>1365128703703.0947</v>
      </c>
      <c r="AI65" s="167">
        <f>Toolbox!$AA55*Calculations!K65</f>
        <v>1821304347126.481</v>
      </c>
      <c r="AJ65" s="167">
        <f>Toolbox!$AA55*Calculations!L65</f>
        <v>1906743017663.4509</v>
      </c>
    </row>
    <row r="66" spans="2:36">
      <c r="B66" s="151">
        <v>520</v>
      </c>
      <c r="C66" s="164">
        <f>SPD!N66</f>
        <v>1.3777082027173969E-2</v>
      </c>
      <c r="E66" s="151">
        <v>520</v>
      </c>
      <c r="F66" s="157">
        <v>0.92799999999999994</v>
      </c>
      <c r="H66" s="151">
        <v>520</v>
      </c>
      <c r="I66" s="172">
        <v>0</v>
      </c>
      <c r="J66" s="172">
        <v>0.62927599999999995</v>
      </c>
      <c r="K66" s="172">
        <v>0.90862600000000004</v>
      </c>
      <c r="L66" s="172">
        <v>0.98512999999999995</v>
      </c>
      <c r="M66" s="172">
        <v>0.71</v>
      </c>
      <c r="N66" s="172">
        <v>0.69962800000000003</v>
      </c>
      <c r="O66" s="172"/>
      <c r="P66" s="151">
        <v>520</v>
      </c>
      <c r="Q66" s="195">
        <f t="shared" si="8"/>
        <v>0</v>
      </c>
      <c r="R66" s="195">
        <f t="shared" si="9"/>
        <v>8.6695870697319263E-3</v>
      </c>
      <c r="S66" s="195">
        <f t="shared" si="10"/>
        <v>1.2518214934022975E-2</v>
      </c>
      <c r="T66" s="195">
        <f t="shared" si="11"/>
        <v>1.3572216817429891E-2</v>
      </c>
      <c r="U66" s="195">
        <f t="shared" si="12"/>
        <v>9.7817282392935172E-3</v>
      </c>
      <c r="V66" s="195">
        <f t="shared" si="13"/>
        <v>9.6388323445076706E-3</v>
      </c>
      <c r="X66" s="151">
        <v>520</v>
      </c>
      <c r="Y66" s="195">
        <f t="shared" si="14"/>
        <v>0</v>
      </c>
      <c r="Z66" s="195">
        <f t="shared" si="15"/>
        <v>5.6894510966864424E-2</v>
      </c>
      <c r="AA66" s="195">
        <f t="shared" si="16"/>
        <v>7.8429215203499436E-2</v>
      </c>
      <c r="AB66" s="195">
        <f t="shared" si="17"/>
        <v>8.3329218466016014E-2</v>
      </c>
      <c r="AC66" s="195">
        <f t="shared" si="18"/>
        <v>6.680935527500842E-2</v>
      </c>
      <c r="AD66" s="195">
        <f t="shared" si="19"/>
        <v>7.2654032329964341E-2</v>
      </c>
      <c r="AF66" s="151">
        <v>520</v>
      </c>
      <c r="AG66" s="167">
        <f>Toolbox!$AA56*Calculations!I66</f>
        <v>0</v>
      </c>
      <c r="AH66" s="167">
        <f>Toolbox!$AA56*Calculations!J66</f>
        <v>1195838496018.1672</v>
      </c>
      <c r="AI66" s="167">
        <f>Toolbox!$AA56*Calculations!K66</f>
        <v>1726698538134.3057</v>
      </c>
      <c r="AJ66" s="167">
        <f>Toolbox!$AA56*Calculations!L66</f>
        <v>1872082166779.5642</v>
      </c>
    </row>
    <row r="67" spans="2:36">
      <c r="B67" s="151">
        <v>525</v>
      </c>
      <c r="C67" s="164">
        <f>SPD!N67</f>
        <v>1.3967718241883408E-2</v>
      </c>
      <c r="E67" s="151">
        <v>525</v>
      </c>
      <c r="F67" s="157">
        <v>0.93118939545631607</v>
      </c>
      <c r="H67" s="151">
        <v>525</v>
      </c>
      <c r="I67" s="172">
        <v>0</v>
      </c>
      <c r="J67" s="172">
        <v>0.54184900000000003</v>
      </c>
      <c r="K67" s="172">
        <v>0.84943599999999997</v>
      </c>
      <c r="L67" s="172">
        <v>0.956125</v>
      </c>
      <c r="M67" s="172">
        <v>0.79320000000000002</v>
      </c>
      <c r="N67" s="172">
        <v>0.60942200000000013</v>
      </c>
      <c r="O67" s="172"/>
      <c r="P67" s="151">
        <v>525</v>
      </c>
      <c r="Q67" s="195">
        <f t="shared" si="8"/>
        <v>0</v>
      </c>
      <c r="R67" s="195">
        <f t="shared" si="9"/>
        <v>7.5683941616462832E-3</v>
      </c>
      <c r="S67" s="195">
        <f t="shared" si="10"/>
        <v>1.1864682712512474E-2</v>
      </c>
      <c r="T67" s="195">
        <f t="shared" si="11"/>
        <v>1.3354884604020774E-2</v>
      </c>
      <c r="U67" s="195">
        <f t="shared" si="12"/>
        <v>1.1079194109461919E-2</v>
      </c>
      <c r="V67" s="195">
        <f t="shared" si="13"/>
        <v>8.5122347864050717E-3</v>
      </c>
      <c r="X67" s="151">
        <v>525</v>
      </c>
      <c r="Y67" s="195">
        <f t="shared" si="14"/>
        <v>0</v>
      </c>
      <c r="Z67" s="195">
        <f t="shared" si="15"/>
        <v>4.966788858199353E-2</v>
      </c>
      <c r="AA67" s="195">
        <f t="shared" si="16"/>
        <v>7.4334700169733675E-2</v>
      </c>
      <c r="AB67" s="195">
        <f t="shared" si="17"/>
        <v>8.1994865814972784E-2</v>
      </c>
      <c r="AC67" s="195">
        <f t="shared" si="18"/>
        <v>7.5671067250308546E-2</v>
      </c>
      <c r="AD67" s="195">
        <f t="shared" si="19"/>
        <v>6.4162147370902325E-2</v>
      </c>
      <c r="AF67" s="151">
        <v>525</v>
      </c>
      <c r="AG67" s="167">
        <f>Toolbox!$AA57*Calculations!I67</f>
        <v>0</v>
      </c>
      <c r="AH67" s="167">
        <f>Toolbox!$AA57*Calculations!J67</f>
        <v>1053983517065.5503</v>
      </c>
      <c r="AI67" s="167">
        <f>Toolbox!$AA57*Calculations!K67</f>
        <v>1652289739027.0957</v>
      </c>
      <c r="AJ67" s="167">
        <f>Toolbox!$AA57*Calculations!L67</f>
        <v>1859817015910.8889</v>
      </c>
    </row>
    <row r="68" spans="2:36">
      <c r="B68" s="151">
        <v>530</v>
      </c>
      <c r="C68" s="164">
        <f>SPD!N68</f>
        <v>1.4158222983341325E-2</v>
      </c>
      <c r="E68" s="151">
        <v>530</v>
      </c>
      <c r="F68" s="157">
        <v>0.93400000000000005</v>
      </c>
      <c r="H68" s="151">
        <v>530</v>
      </c>
      <c r="I68" s="172">
        <v>0</v>
      </c>
      <c r="J68" s="172">
        <v>0.45622600000000002</v>
      </c>
      <c r="K68" s="172">
        <v>0.77895400000000004</v>
      </c>
      <c r="L68" s="172">
        <v>0.912165</v>
      </c>
      <c r="M68" s="172">
        <v>0.86199999999999999</v>
      </c>
      <c r="N68" s="172">
        <v>0.51930900000000002</v>
      </c>
      <c r="O68" s="172"/>
      <c r="P68" s="151">
        <v>530</v>
      </c>
      <c r="Q68" s="195">
        <f t="shared" si="8"/>
        <v>0</v>
      </c>
      <c r="R68" s="195">
        <f t="shared" si="9"/>
        <v>6.4593494387978796E-3</v>
      </c>
      <c r="S68" s="195">
        <f t="shared" si="10"/>
        <v>1.102860442576566E-2</v>
      </c>
      <c r="T68" s="195">
        <f t="shared" si="11"/>
        <v>1.291463546759954E-2</v>
      </c>
      <c r="U68" s="195">
        <f t="shared" si="12"/>
        <v>1.2204388211640221E-2</v>
      </c>
      <c r="V68" s="195">
        <f t="shared" si="13"/>
        <v>7.3524926192560002E-3</v>
      </c>
      <c r="X68" s="151">
        <v>530</v>
      </c>
      <c r="Y68" s="195">
        <f t="shared" si="14"/>
        <v>0</v>
      </c>
      <c r="Z68" s="195">
        <f t="shared" si="15"/>
        <v>4.2389738349540455E-2</v>
      </c>
      <c r="AA68" s="195">
        <f t="shared" si="16"/>
        <v>6.9096496142734609E-2</v>
      </c>
      <c r="AB68" s="195">
        <f t="shared" si="17"/>
        <v>7.9291872121178636E-2</v>
      </c>
      <c r="AC68" s="195">
        <f t="shared" si="18"/>
        <v>8.3356160383830688E-2</v>
      </c>
      <c r="AD68" s="195">
        <f t="shared" si="19"/>
        <v>5.5420430335593178E-2</v>
      </c>
      <c r="AF68" s="151">
        <v>530</v>
      </c>
      <c r="AG68" s="167">
        <f>Toolbox!$AA58*Calculations!I68</f>
        <v>0</v>
      </c>
      <c r="AH68" s="167">
        <f>Toolbox!$AA58*Calculations!J68</f>
        <v>908103653631.1394</v>
      </c>
      <c r="AI68" s="167">
        <f>Toolbox!$AA58*Calculations!K68</f>
        <v>1550483693192.8267</v>
      </c>
      <c r="AJ68" s="167">
        <f>Toolbox!$AA58*Calculations!L68</f>
        <v>1815636042694.7351</v>
      </c>
    </row>
    <row r="69" spans="2:36">
      <c r="B69" s="151">
        <v>535</v>
      </c>
      <c r="C69" s="164">
        <f>SPD!N69</f>
        <v>1.3942343904339325E-2</v>
      </c>
      <c r="E69" s="151">
        <v>535</v>
      </c>
      <c r="F69" s="157">
        <v>0.93645824871396799</v>
      </c>
      <c r="H69" s="151">
        <v>535</v>
      </c>
      <c r="I69" s="172">
        <v>0</v>
      </c>
      <c r="J69" s="172">
        <v>0.37534899999999999</v>
      </c>
      <c r="K69" s="172">
        <v>0.70057700000000001</v>
      </c>
      <c r="L69" s="172">
        <v>0.85488200000000003</v>
      </c>
      <c r="M69" s="172">
        <v>0.9148501</v>
      </c>
      <c r="N69" s="172">
        <v>0.432533</v>
      </c>
      <c r="O69" s="172"/>
      <c r="P69" s="151">
        <v>535</v>
      </c>
      <c r="Q69" s="195">
        <f t="shared" si="8"/>
        <v>0</v>
      </c>
      <c r="R69" s="195">
        <f t="shared" si="9"/>
        <v>5.2332448421498609E-3</v>
      </c>
      <c r="S69" s="195">
        <f t="shared" si="10"/>
        <v>9.7676854654703306E-3</v>
      </c>
      <c r="T69" s="195">
        <f t="shared" si="11"/>
        <v>1.1919058841629412E-2</v>
      </c>
      <c r="U69" s="195">
        <f t="shared" si="12"/>
        <v>1.2755154715119222E-2</v>
      </c>
      <c r="V69" s="195">
        <f t="shared" si="13"/>
        <v>6.0305238359756016E-3</v>
      </c>
      <c r="X69" s="151">
        <v>535</v>
      </c>
      <c r="Y69" s="195">
        <f t="shared" si="14"/>
        <v>0</v>
      </c>
      <c r="Z69" s="195">
        <f t="shared" si="15"/>
        <v>3.4343378025868135E-2</v>
      </c>
      <c r="AA69" s="195">
        <f t="shared" si="16"/>
        <v>6.1196577103767129E-2</v>
      </c>
      <c r="AB69" s="195">
        <f t="shared" si="17"/>
        <v>7.3179339195932169E-2</v>
      </c>
      <c r="AC69" s="195">
        <f t="shared" si="18"/>
        <v>8.7117904127302387E-2</v>
      </c>
      <c r="AD69" s="195">
        <f t="shared" si="19"/>
        <v>4.5455907737128633E-2</v>
      </c>
      <c r="AF69" s="151">
        <v>535</v>
      </c>
      <c r="AG69" s="167">
        <f>Toolbox!$AA59*Calculations!I69</f>
        <v>0</v>
      </c>
      <c r="AH69" s="167">
        <f>Toolbox!$AA59*Calculations!J69</f>
        <v>742669536175.18445</v>
      </c>
      <c r="AI69" s="167">
        <f>Toolbox!$AA59*Calculations!K69</f>
        <v>1386169126985.8245</v>
      </c>
      <c r="AJ69" s="167">
        <f>Toolbox!$AA59*Calculations!L69</f>
        <v>1691478646338.512</v>
      </c>
    </row>
    <row r="70" spans="2:36">
      <c r="B70" s="151">
        <v>540</v>
      </c>
      <c r="C70" s="164">
        <f>SPD!N70</f>
        <v>1.3726464825337325E-2</v>
      </c>
      <c r="E70" s="151">
        <v>540</v>
      </c>
      <c r="F70" s="157">
        <v>0.93900000000000006</v>
      </c>
      <c r="H70" s="151">
        <v>540</v>
      </c>
      <c r="I70" s="172">
        <v>0</v>
      </c>
      <c r="J70" s="172">
        <v>0.301487</v>
      </c>
      <c r="K70" s="172">
        <v>0.61807000000000001</v>
      </c>
      <c r="L70" s="172">
        <v>0.78693400000000002</v>
      </c>
      <c r="M70" s="172">
        <v>0.95399999999999996</v>
      </c>
      <c r="N70" s="172">
        <v>0.35170699999999999</v>
      </c>
      <c r="O70" s="172"/>
      <c r="P70" s="151">
        <v>540</v>
      </c>
      <c r="Q70" s="195">
        <f t="shared" si="8"/>
        <v>0</v>
      </c>
      <c r="R70" s="195">
        <f t="shared" si="9"/>
        <v>4.1383507007964745E-3</v>
      </c>
      <c r="S70" s="195">
        <f t="shared" si="10"/>
        <v>8.4839161145962416E-3</v>
      </c>
      <c r="T70" s="195">
        <f t="shared" si="11"/>
        <v>1.0801821870862004E-2</v>
      </c>
      <c r="U70" s="195">
        <f t="shared" si="12"/>
        <v>1.3095047443371808E-2</v>
      </c>
      <c r="V70" s="195">
        <f t="shared" si="13"/>
        <v>4.8276937643249142E-3</v>
      </c>
      <c r="X70" s="151">
        <v>540</v>
      </c>
      <c r="Y70" s="195">
        <f t="shared" si="14"/>
        <v>0</v>
      </c>
      <c r="Z70" s="195">
        <f t="shared" si="15"/>
        <v>2.7158091548929612E-2</v>
      </c>
      <c r="AA70" s="195">
        <f t="shared" si="16"/>
        <v>5.315349562433741E-2</v>
      </c>
      <c r="AB70" s="195">
        <f t="shared" si="17"/>
        <v>6.631984933751589E-2</v>
      </c>
      <c r="AC70" s="195">
        <f t="shared" si="18"/>
        <v>8.9439376722093983E-2</v>
      </c>
      <c r="AD70" s="195">
        <f t="shared" si="19"/>
        <v>3.6389409660423463E-2</v>
      </c>
      <c r="AF70" s="151">
        <v>540</v>
      </c>
      <c r="AG70" s="167">
        <f>Toolbox!$AA60*Calculations!I70</f>
        <v>0</v>
      </c>
      <c r="AH70" s="167">
        <f>Toolbox!$AA60*Calculations!J70</f>
        <v>592777656280.39392</v>
      </c>
      <c r="AI70" s="167">
        <f>Toolbox!$AA60*Calculations!K70</f>
        <v>1215236763167.9741</v>
      </c>
      <c r="AJ70" s="167">
        <f>Toolbox!$AA60*Calculations!L70</f>
        <v>1547253752789.8567</v>
      </c>
    </row>
    <row r="71" spans="2:36">
      <c r="B71" s="151">
        <v>545</v>
      </c>
      <c r="C71" s="164">
        <f>SPD!N71</f>
        <v>1.3702931113314573E-2</v>
      </c>
      <c r="E71" s="151">
        <v>545</v>
      </c>
      <c r="F71" s="157">
        <v>0.94197760968781497</v>
      </c>
      <c r="H71" s="151">
        <v>545</v>
      </c>
      <c r="I71" s="172">
        <v>0</v>
      </c>
      <c r="J71" s="172">
        <v>0.23619399999999999</v>
      </c>
      <c r="K71" s="172">
        <v>0.53502300000000003</v>
      </c>
      <c r="L71" s="172">
        <v>0.71159899999999998</v>
      </c>
      <c r="M71" s="172">
        <v>0.98029999999999995</v>
      </c>
      <c r="N71" s="172">
        <v>0.27913500000000002</v>
      </c>
      <c r="O71" s="172"/>
      <c r="P71" s="151">
        <v>545</v>
      </c>
      <c r="Q71" s="195">
        <f t="shared" si="8"/>
        <v>0</v>
      </c>
      <c r="R71" s="195">
        <f t="shared" si="9"/>
        <v>3.2365501113782221E-3</v>
      </c>
      <c r="S71" s="195">
        <f t="shared" si="10"/>
        <v>7.3313833130389033E-3</v>
      </c>
      <c r="T71" s="195">
        <f t="shared" si="11"/>
        <v>9.7509920773035368E-3</v>
      </c>
      <c r="U71" s="195">
        <f t="shared" si="12"/>
        <v>1.3432983370382274E-2</v>
      </c>
      <c r="V71" s="195">
        <f t="shared" si="13"/>
        <v>3.8249676763150637E-3</v>
      </c>
      <c r="X71" s="151">
        <v>545</v>
      </c>
      <c r="Y71" s="195">
        <f t="shared" si="14"/>
        <v>0</v>
      </c>
      <c r="Z71" s="195">
        <f t="shared" si="15"/>
        <v>2.1239989208887249E-2</v>
      </c>
      <c r="AA71" s="195">
        <f t="shared" si="16"/>
        <v>4.5932638369621519E-2</v>
      </c>
      <c r="AB71" s="195">
        <f t="shared" si="17"/>
        <v>5.9868079032345228E-2</v>
      </c>
      <c r="AC71" s="195">
        <f t="shared" si="18"/>
        <v>9.1747484334114712E-2</v>
      </c>
      <c r="AD71" s="195">
        <f t="shared" si="19"/>
        <v>2.8831223044813493E-2</v>
      </c>
      <c r="AF71" s="151">
        <v>545</v>
      </c>
      <c r="AG71" s="167">
        <f>Toolbox!$AA61*Calculations!I71</f>
        <v>0</v>
      </c>
      <c r="AH71" s="167">
        <f>Toolbox!$AA61*Calculations!J71</f>
        <v>467896300676.25385</v>
      </c>
      <c r="AI71" s="167">
        <f>Toolbox!$AA61*Calculations!K71</f>
        <v>1059871472081.0493</v>
      </c>
      <c r="AJ71" s="167">
        <f>Toolbox!$AA61*Calculations!L71</f>
        <v>1409665527764.9795</v>
      </c>
    </row>
    <row r="72" spans="2:36">
      <c r="B72" s="151">
        <v>550</v>
      </c>
      <c r="C72" s="164">
        <f>SPD!N72</f>
        <v>1.3679265928040299E-2</v>
      </c>
      <c r="E72" s="151">
        <v>550</v>
      </c>
      <c r="F72" s="157">
        <v>0.94499999999999995</v>
      </c>
      <c r="H72" s="151">
        <v>550</v>
      </c>
      <c r="I72" s="172">
        <v>0</v>
      </c>
      <c r="J72" s="172">
        <v>0.180197</v>
      </c>
      <c r="K72" s="172">
        <v>0.45410099999999998</v>
      </c>
      <c r="L72" s="172">
        <v>0.631803</v>
      </c>
      <c r="M72" s="172">
        <v>0.99495009999999995</v>
      </c>
      <c r="N72" s="172">
        <v>0.21572200000000002</v>
      </c>
      <c r="O72" s="172"/>
      <c r="P72" s="151">
        <v>550</v>
      </c>
      <c r="Q72" s="195">
        <f t="shared" si="8"/>
        <v>0</v>
      </c>
      <c r="R72" s="195">
        <f t="shared" si="9"/>
        <v>2.4649626824350774E-3</v>
      </c>
      <c r="S72" s="195">
        <f t="shared" si="10"/>
        <v>6.211768337189027E-3</v>
      </c>
      <c r="T72" s="195">
        <f t="shared" si="11"/>
        <v>8.6426012511336449E-3</v>
      </c>
      <c r="U72" s="195">
        <f t="shared" si="12"/>
        <v>1.3610187003030287E-2</v>
      </c>
      <c r="V72" s="195">
        <f t="shared" si="13"/>
        <v>2.9509186045287095E-3</v>
      </c>
      <c r="X72" s="151">
        <v>550</v>
      </c>
      <c r="Y72" s="195">
        <f t="shared" si="14"/>
        <v>0</v>
      </c>
      <c r="Z72" s="195">
        <f t="shared" si="15"/>
        <v>1.6176415928544394E-2</v>
      </c>
      <c r="AA72" s="195">
        <f t="shared" si="16"/>
        <v>3.8918018126336475E-2</v>
      </c>
      <c r="AB72" s="195">
        <f t="shared" si="17"/>
        <v>5.306290176896513E-2</v>
      </c>
      <c r="AC72" s="195">
        <f t="shared" si="18"/>
        <v>9.2957787887841148E-2</v>
      </c>
      <c r="AD72" s="195">
        <f t="shared" si="19"/>
        <v>2.2242957241463773E-2</v>
      </c>
      <c r="AF72" s="151">
        <v>550</v>
      </c>
      <c r="AG72" s="167">
        <f>Toolbox!$AA62*Calculations!I72</f>
        <v>0</v>
      </c>
      <c r="AH72" s="167">
        <f>Toolbox!$AA62*Calculations!J72</f>
        <v>359619979536.86615</v>
      </c>
      <c r="AI72" s="167">
        <f>Toolbox!$AA62*Calculations!K72</f>
        <v>906251448845.82129</v>
      </c>
      <c r="AJ72" s="167">
        <f>Toolbox!$AA62*Calculations!L72</f>
        <v>1260892145437.1086</v>
      </c>
    </row>
    <row r="73" spans="2:36">
      <c r="B73" s="151">
        <v>555</v>
      </c>
      <c r="C73" s="164">
        <f>SPD!N73</f>
        <v>1.3413295540207747E-2</v>
      </c>
      <c r="E73" s="151">
        <v>555</v>
      </c>
      <c r="F73" s="157">
        <v>0.94763131253477395</v>
      </c>
      <c r="H73" s="151">
        <v>555</v>
      </c>
      <c r="I73" s="172">
        <v>0</v>
      </c>
      <c r="J73" s="172">
        <v>0.13372899999999999</v>
      </c>
      <c r="K73" s="172">
        <v>0.37747199999999997</v>
      </c>
      <c r="L73" s="172">
        <v>0.55044000000000004</v>
      </c>
      <c r="M73" s="172">
        <v>1</v>
      </c>
      <c r="N73" s="172">
        <v>0.16205600000000001</v>
      </c>
      <c r="O73" s="172"/>
      <c r="P73" s="151">
        <v>555</v>
      </c>
      <c r="Q73" s="195">
        <f t="shared" si="8"/>
        <v>0</v>
      </c>
      <c r="R73" s="195">
        <f t="shared" si="9"/>
        <v>1.7937465992964416E-3</v>
      </c>
      <c r="S73" s="195">
        <f t="shared" si="10"/>
        <v>5.0631434941532981E-3</v>
      </c>
      <c r="T73" s="195">
        <f t="shared" si="11"/>
        <v>7.3832143971519527E-3</v>
      </c>
      <c r="U73" s="195">
        <f t="shared" si="12"/>
        <v>1.3413295540207747E-2</v>
      </c>
      <c r="V73" s="195">
        <f t="shared" si="13"/>
        <v>2.1737050220639069E-3</v>
      </c>
      <c r="X73" s="151">
        <v>555</v>
      </c>
      <c r="Y73" s="195">
        <f t="shared" si="14"/>
        <v>0</v>
      </c>
      <c r="Z73" s="195">
        <f t="shared" si="15"/>
        <v>1.1771533608763075E-2</v>
      </c>
      <c r="AA73" s="195">
        <f t="shared" si="16"/>
        <v>3.1721645043007084E-2</v>
      </c>
      <c r="AB73" s="195">
        <f t="shared" si="17"/>
        <v>4.5330655541223112E-2</v>
      </c>
      <c r="AC73" s="195">
        <f t="shared" si="18"/>
        <v>9.1613016149296386E-2</v>
      </c>
      <c r="AD73" s="195">
        <f t="shared" si="19"/>
        <v>1.638460233607306E-2</v>
      </c>
      <c r="AF73" s="151">
        <v>555</v>
      </c>
      <c r="AG73" s="167">
        <f>Toolbox!$AA63*Calculations!I73</f>
        <v>0</v>
      </c>
      <c r="AH73" s="167">
        <f>Toolbox!$AA63*Calculations!J73</f>
        <v>264073515787.79285</v>
      </c>
      <c r="AI73" s="167">
        <f>Toolbox!$AA63*Calculations!K73</f>
        <v>745390739117.54175</v>
      </c>
      <c r="AJ73" s="167">
        <f>Toolbox!$AA63*Calculations!L73</f>
        <v>1086949173554.2233</v>
      </c>
    </row>
    <row r="74" spans="2:36">
      <c r="B74" s="151">
        <v>560</v>
      </c>
      <c r="C74" s="164">
        <f>SPD!N74</f>
        <v>1.3147325152375197E-2</v>
      </c>
      <c r="E74" s="151">
        <v>560</v>
      </c>
      <c r="F74" s="157">
        <v>0.95</v>
      </c>
      <c r="H74" s="151">
        <v>560</v>
      </c>
      <c r="I74" s="172">
        <v>0</v>
      </c>
      <c r="J74" s="172">
        <v>9.6595E-2</v>
      </c>
      <c r="K74" s="172">
        <v>0.307058</v>
      </c>
      <c r="L74" s="172">
        <v>0.47053400000000001</v>
      </c>
      <c r="M74" s="172">
        <v>0.995</v>
      </c>
      <c r="N74" s="172">
        <v>0.11852600000000001</v>
      </c>
      <c r="O74" s="172"/>
      <c r="P74" s="151">
        <v>560</v>
      </c>
      <c r="Q74" s="195">
        <f t="shared" si="8"/>
        <v>0</v>
      </c>
      <c r="R74" s="195">
        <f t="shared" si="9"/>
        <v>1.2699658730936823E-3</v>
      </c>
      <c r="S74" s="195">
        <f t="shared" si="10"/>
        <v>4.0369913666380231E-3</v>
      </c>
      <c r="T74" s="195">
        <f t="shared" si="11"/>
        <v>6.1862634932477109E-3</v>
      </c>
      <c r="U74" s="195">
        <f t="shared" si="12"/>
        <v>1.3081588526613321E-2</v>
      </c>
      <c r="V74" s="195">
        <f t="shared" si="13"/>
        <v>1.5582998610104227E-3</v>
      </c>
      <c r="X74" s="151">
        <v>560</v>
      </c>
      <c r="Y74" s="195">
        <f t="shared" si="14"/>
        <v>0</v>
      </c>
      <c r="Z74" s="195">
        <f t="shared" si="15"/>
        <v>8.3342016999324326E-3</v>
      </c>
      <c r="AA74" s="195">
        <f t="shared" si="16"/>
        <v>2.5292588946383535E-2</v>
      </c>
      <c r="AB74" s="195">
        <f t="shared" si="17"/>
        <v>3.7981746758949518E-2</v>
      </c>
      <c r="AC74" s="195">
        <f t="shared" si="18"/>
        <v>8.9347452112317705E-2</v>
      </c>
      <c r="AD74" s="195">
        <f t="shared" si="19"/>
        <v>1.1745900793278405E-2</v>
      </c>
      <c r="AF74" s="151">
        <v>560</v>
      </c>
      <c r="AG74" s="167">
        <f>Toolbox!$AA64*Calculations!I74</f>
        <v>0</v>
      </c>
      <c r="AH74" s="167">
        <f>Toolbox!$AA64*Calculations!J74</f>
        <v>188647411874.62604</v>
      </c>
      <c r="AI74" s="167">
        <f>Toolbox!$AA64*Calculations!K74</f>
        <v>599675935559.80042</v>
      </c>
      <c r="AJ74" s="167">
        <f>Toolbox!$AA64*Calculations!L74</f>
        <v>918940124219.8385</v>
      </c>
    </row>
    <row r="75" spans="2:36">
      <c r="B75" s="151">
        <v>565</v>
      </c>
      <c r="C75" s="164">
        <f>SPD!N75</f>
        <v>1.2906347829657312E-2</v>
      </c>
      <c r="E75" s="151">
        <v>565</v>
      </c>
      <c r="F75" s="157">
        <v>0.95237214017309002</v>
      </c>
      <c r="H75" s="151">
        <v>565</v>
      </c>
      <c r="I75" s="172">
        <v>0</v>
      </c>
      <c r="J75" s="172">
        <v>6.8043000000000006E-2</v>
      </c>
      <c r="K75" s="172">
        <v>0.24421999999999999</v>
      </c>
      <c r="L75" s="172">
        <v>0.394592</v>
      </c>
      <c r="M75" s="172">
        <v>0.97860000000000003</v>
      </c>
      <c r="N75" s="172">
        <v>8.4345699999999996E-2</v>
      </c>
      <c r="O75" s="172"/>
      <c r="P75" s="151">
        <v>565</v>
      </c>
      <c r="Q75" s="195">
        <f t="shared" si="8"/>
        <v>0</v>
      </c>
      <c r="R75" s="195">
        <f t="shared" si="9"/>
        <v>8.7818662537337254E-4</v>
      </c>
      <c r="S75" s="195">
        <f t="shared" si="10"/>
        <v>3.1519882669589086E-3</v>
      </c>
      <c r="T75" s="195">
        <f t="shared" si="11"/>
        <v>5.0927416028001384E-3</v>
      </c>
      <c r="U75" s="195">
        <f t="shared" si="12"/>
        <v>1.2630151986102645E-2</v>
      </c>
      <c r="V75" s="195">
        <f t="shared" si="13"/>
        <v>1.0885949421359266E-3</v>
      </c>
      <c r="X75" s="151">
        <v>565</v>
      </c>
      <c r="Y75" s="195">
        <f t="shared" si="14"/>
        <v>0</v>
      </c>
      <c r="Z75" s="195">
        <f t="shared" si="15"/>
        <v>5.7631347590588241E-3</v>
      </c>
      <c r="AA75" s="195">
        <f t="shared" si="16"/>
        <v>1.9747860810117944E-2</v>
      </c>
      <c r="AB75" s="195">
        <f t="shared" si="17"/>
        <v>3.1267860167522955E-2</v>
      </c>
      <c r="AC75" s="195">
        <f t="shared" si="18"/>
        <v>8.6264133553339145E-2</v>
      </c>
      <c r="AD75" s="195">
        <f t="shared" si="19"/>
        <v>8.2054349835482127E-3</v>
      </c>
      <c r="AF75" s="151">
        <v>565</v>
      </c>
      <c r="AG75" s="167">
        <f>Toolbox!$AA65*Calculations!I75</f>
        <v>0</v>
      </c>
      <c r="AH75" s="167">
        <f>Toolbox!$AA65*Calculations!J75</f>
        <v>131615197592.80569</v>
      </c>
      <c r="AI75" s="167">
        <f>Toolbox!$AA65*Calculations!K75</f>
        <v>472393391768.66101</v>
      </c>
      <c r="AJ75" s="167">
        <f>Toolbox!$AA65*Calculations!L75</f>
        <v>763257117536.56335</v>
      </c>
    </row>
    <row r="76" spans="2:36">
      <c r="B76" s="151">
        <v>570</v>
      </c>
      <c r="C76" s="164">
        <f>SPD!N76</f>
        <v>1.2665370506939427E-2</v>
      </c>
      <c r="E76" s="151">
        <v>570</v>
      </c>
      <c r="F76" s="157">
        <v>0.95499999999999996</v>
      </c>
      <c r="H76" s="151">
        <v>570</v>
      </c>
      <c r="I76" s="172">
        <v>0</v>
      </c>
      <c r="J76" s="172">
        <v>4.6890000000000001E-2</v>
      </c>
      <c r="K76" s="172">
        <v>0.189753</v>
      </c>
      <c r="L76" s="172">
        <v>0.32446599999999998</v>
      </c>
      <c r="M76" s="172">
        <v>0.95199999999999996</v>
      </c>
      <c r="N76" s="172">
        <v>5.8701299999999998E-2</v>
      </c>
      <c r="O76" s="172"/>
      <c r="P76" s="151">
        <v>570</v>
      </c>
      <c r="Q76" s="195">
        <f t="shared" si="8"/>
        <v>0</v>
      </c>
      <c r="R76" s="195">
        <f t="shared" si="9"/>
        <v>5.938792230703897E-4</v>
      </c>
      <c r="S76" s="195">
        <f t="shared" si="10"/>
        <v>2.403292049803277E-3</v>
      </c>
      <c r="T76" s="195">
        <f t="shared" si="11"/>
        <v>4.1094821069046078E-3</v>
      </c>
      <c r="U76" s="195">
        <f t="shared" si="12"/>
        <v>1.2057432722606334E-2</v>
      </c>
      <c r="V76" s="195">
        <f t="shared" si="13"/>
        <v>7.4347371373900337E-4</v>
      </c>
      <c r="X76" s="151">
        <v>570</v>
      </c>
      <c r="Y76" s="195">
        <f t="shared" si="14"/>
        <v>0</v>
      </c>
      <c r="Z76" s="195">
        <f t="shared" si="15"/>
        <v>3.8973560906881794E-3</v>
      </c>
      <c r="AA76" s="195">
        <f t="shared" si="16"/>
        <v>1.5057123588650995E-2</v>
      </c>
      <c r="AB76" s="195">
        <f t="shared" si="17"/>
        <v>2.523095061586882E-2</v>
      </c>
      <c r="AC76" s="195">
        <f t="shared" si="18"/>
        <v>8.2352452119166544E-2</v>
      </c>
      <c r="AD76" s="195">
        <f t="shared" si="19"/>
        <v>5.6040359769564223E-3</v>
      </c>
      <c r="AF76" s="151">
        <v>570</v>
      </c>
      <c r="AG76" s="167">
        <f>Toolbox!$AA66*Calculations!I76</f>
        <v>0</v>
      </c>
      <c r="AH76" s="167">
        <f>Toolbox!$AA66*Calculations!J76</f>
        <v>89793264527.837753</v>
      </c>
      <c r="AI76" s="167">
        <f>Toolbox!$AA66*Calculations!K76</f>
        <v>363372602344.86664</v>
      </c>
      <c r="AJ76" s="167">
        <f>Toolbox!$AA66*Calculations!L76</f>
        <v>621344878828.94861</v>
      </c>
    </row>
    <row r="77" spans="2:36">
      <c r="B77" s="151">
        <v>575</v>
      </c>
      <c r="C77" s="164">
        <f>SPD!N77</f>
        <v>1.2629465161948289E-2</v>
      </c>
      <c r="E77" s="151">
        <v>575</v>
      </c>
      <c r="F77" s="157">
        <v>0.95800512677286409</v>
      </c>
      <c r="H77" s="151">
        <v>575</v>
      </c>
      <c r="I77" s="172">
        <v>0</v>
      </c>
      <c r="J77" s="172">
        <v>3.1726999999999998E-2</v>
      </c>
      <c r="K77" s="172">
        <v>0.14391300000000001</v>
      </c>
      <c r="L77" s="172">
        <v>0.26134000000000002</v>
      </c>
      <c r="M77" s="172">
        <v>0.91539999999999999</v>
      </c>
      <c r="N77" s="172">
        <v>4.0008900000000007E-2</v>
      </c>
      <c r="O77" s="172"/>
      <c r="P77" s="151">
        <v>575</v>
      </c>
      <c r="Q77" s="195">
        <f t="shared" si="8"/>
        <v>0</v>
      </c>
      <c r="R77" s="195">
        <f t="shared" si="9"/>
        <v>4.0069504119313333E-4</v>
      </c>
      <c r="S77" s="195">
        <f t="shared" si="10"/>
        <v>1.8175442198514642E-3</v>
      </c>
      <c r="T77" s="195">
        <f t="shared" si="11"/>
        <v>3.3005844254235662E-3</v>
      </c>
      <c r="U77" s="195">
        <f t="shared" si="12"/>
        <v>1.1561012409247465E-2</v>
      </c>
      <c r="V77" s="195">
        <f t="shared" si="13"/>
        <v>5.0529100871787305E-4</v>
      </c>
      <c r="X77" s="151">
        <v>575</v>
      </c>
      <c r="Y77" s="195">
        <f t="shared" si="14"/>
        <v>0</v>
      </c>
      <c r="Z77" s="195">
        <f t="shared" si="15"/>
        <v>2.629577191181706E-3</v>
      </c>
      <c r="AA77" s="195">
        <f t="shared" si="16"/>
        <v>1.1387291839284325E-2</v>
      </c>
      <c r="AB77" s="195">
        <f t="shared" si="17"/>
        <v>2.0264568740048498E-2</v>
      </c>
      <c r="AC77" s="195">
        <f t="shared" si="18"/>
        <v>7.8961893695380383E-2</v>
      </c>
      <c r="AD77" s="195">
        <f t="shared" si="19"/>
        <v>3.8087008852630663E-3</v>
      </c>
      <c r="AF77" s="151">
        <v>575</v>
      </c>
      <c r="AG77" s="167">
        <f>Toolbox!$AA67*Calculations!I77</f>
        <v>0</v>
      </c>
      <c r="AH77" s="167">
        <f>Toolbox!$AA67*Calculations!J77</f>
        <v>61115671269.921272</v>
      </c>
      <c r="AI77" s="167">
        <f>Toolbox!$AA67*Calculations!K77</f>
        <v>277219390407.79718</v>
      </c>
      <c r="AJ77" s="167">
        <f>Toolbox!$AA67*Calculations!L77</f>
        <v>503418839779.40643</v>
      </c>
    </row>
    <row r="78" spans="2:36">
      <c r="B78" s="151">
        <v>580</v>
      </c>
      <c r="C78" s="164">
        <f>SPD!N78</f>
        <v>1.2593559816957154E-2</v>
      </c>
      <c r="E78" s="151">
        <v>580</v>
      </c>
      <c r="F78" s="157">
        <v>0.96099999999999997</v>
      </c>
      <c r="H78" s="151">
        <v>580</v>
      </c>
      <c r="I78" s="172">
        <v>0</v>
      </c>
      <c r="J78" s="172">
        <v>2.1158E-2</v>
      </c>
      <c r="K78" s="172">
        <v>0.106507</v>
      </c>
      <c r="L78" s="172">
        <v>0.205898</v>
      </c>
      <c r="M78" s="172">
        <v>0.87</v>
      </c>
      <c r="N78" s="172">
        <v>2.6874700000000005E-2</v>
      </c>
      <c r="O78" s="172"/>
      <c r="P78" s="151">
        <v>580</v>
      </c>
      <c r="Q78" s="195">
        <f t="shared" si="8"/>
        <v>0</v>
      </c>
      <c r="R78" s="195">
        <f t="shared" si="9"/>
        <v>2.6645453860717948E-4</v>
      </c>
      <c r="S78" s="195">
        <f t="shared" si="10"/>
        <v>1.3413022754246557E-3</v>
      </c>
      <c r="T78" s="195">
        <f t="shared" si="11"/>
        <v>2.5929887791918439E-3</v>
      </c>
      <c r="U78" s="195">
        <f t="shared" si="12"/>
        <v>1.0956397040752724E-2</v>
      </c>
      <c r="V78" s="195">
        <f t="shared" si="13"/>
        <v>3.3844814201277847E-4</v>
      </c>
      <c r="X78" s="151">
        <v>580</v>
      </c>
      <c r="Y78" s="195">
        <f t="shared" si="14"/>
        <v>0</v>
      </c>
      <c r="Z78" s="195">
        <f t="shared" si="15"/>
        <v>1.74861853823284E-3</v>
      </c>
      <c r="AA78" s="195">
        <f t="shared" si="16"/>
        <v>8.4035371949326785E-3</v>
      </c>
      <c r="AB78" s="195">
        <f t="shared" si="17"/>
        <v>1.5920150065958191E-2</v>
      </c>
      <c r="AC78" s="195">
        <f t="shared" si="18"/>
        <v>7.483236137038371E-2</v>
      </c>
      <c r="AD78" s="195">
        <f t="shared" si="19"/>
        <v>2.5510996947492558E-3</v>
      </c>
      <c r="AF78" s="151">
        <v>580</v>
      </c>
      <c r="AG78" s="167">
        <f>Toolbox!$AA68*Calculations!I78</f>
        <v>0</v>
      </c>
      <c r="AH78" s="167">
        <f>Toolbox!$AA68*Calculations!J78</f>
        <v>40994150329.669563</v>
      </c>
      <c r="AI78" s="167">
        <f>Toolbox!$AA68*Calculations!K78</f>
        <v>206359956950.66248</v>
      </c>
      <c r="AJ78" s="167">
        <f>Toolbox!$AA68*Calculations!L78</f>
        <v>398932487218.93866</v>
      </c>
    </row>
    <row r="79" spans="2:36">
      <c r="B79" s="151">
        <v>585</v>
      </c>
      <c r="C79" s="164">
        <f>SPD!N79</f>
        <v>1.2126672006146005E-2</v>
      </c>
      <c r="E79" s="151">
        <v>585</v>
      </c>
      <c r="F79" s="157">
        <v>0.96360735273545206</v>
      </c>
      <c r="H79" s="151">
        <v>585</v>
      </c>
      <c r="I79" s="172">
        <v>0</v>
      </c>
      <c r="J79" s="172">
        <v>1.3956E-2</v>
      </c>
      <c r="K79" s="172">
        <v>7.6953999999999995E-2</v>
      </c>
      <c r="L79" s="172">
        <v>0.15845899999999999</v>
      </c>
      <c r="M79" s="172">
        <v>0.81630000000000003</v>
      </c>
      <c r="N79" s="172">
        <v>1.78624E-2</v>
      </c>
      <c r="O79" s="172"/>
      <c r="P79" s="151">
        <v>585</v>
      </c>
      <c r="Q79" s="195">
        <f t="shared" si="8"/>
        <v>0</v>
      </c>
      <c r="R79" s="195">
        <f t="shared" si="9"/>
        <v>1.6923983451777363E-4</v>
      </c>
      <c r="S79" s="195">
        <f t="shared" si="10"/>
        <v>9.3319591756095967E-4</v>
      </c>
      <c r="T79" s="195">
        <f t="shared" si="11"/>
        <v>1.9215803194218898E-3</v>
      </c>
      <c r="U79" s="195">
        <f t="shared" si="12"/>
        <v>9.8990023586169838E-3</v>
      </c>
      <c r="V79" s="195">
        <f t="shared" si="13"/>
        <v>2.1661146604258242E-4</v>
      </c>
      <c r="X79" s="151">
        <v>585</v>
      </c>
      <c r="Y79" s="195">
        <f t="shared" si="14"/>
        <v>0</v>
      </c>
      <c r="Z79" s="195">
        <f t="shared" si="15"/>
        <v>1.1106431648421665E-3</v>
      </c>
      <c r="AA79" s="195">
        <f t="shared" si="16"/>
        <v>5.8466661445870085E-3</v>
      </c>
      <c r="AB79" s="195">
        <f t="shared" si="17"/>
        <v>1.1797909537627429E-2</v>
      </c>
      <c r="AC79" s="195">
        <f t="shared" si="18"/>
        <v>6.7610339325145055E-2</v>
      </c>
      <c r="AD79" s="195">
        <f t="shared" si="19"/>
        <v>1.6327388935098862E-3</v>
      </c>
      <c r="AF79" s="151">
        <v>585</v>
      </c>
      <c r="AG79" s="167">
        <f>Toolbox!$AA69*Calculations!I79</f>
        <v>0</v>
      </c>
      <c r="AH79" s="167">
        <f>Toolbox!$AA69*Calculations!J79</f>
        <v>26262086762.818611</v>
      </c>
      <c r="AI79" s="167">
        <f>Toolbox!$AA69*Calculations!K79</f>
        <v>144810305585.12061</v>
      </c>
      <c r="AJ79" s="167">
        <f>Toolbox!$AA69*Calculations!L79</f>
        <v>298184580563.8775</v>
      </c>
    </row>
    <row r="80" spans="2:36">
      <c r="B80" s="151">
        <v>590</v>
      </c>
      <c r="C80" s="164">
        <f>SPD!N80</f>
        <v>1.1659784195334857E-2</v>
      </c>
      <c r="E80" s="151">
        <v>590</v>
      </c>
      <c r="F80" s="157">
        <v>0.96599999999999997</v>
      </c>
      <c r="H80" s="151">
        <v>590</v>
      </c>
      <c r="I80" s="172">
        <v>0</v>
      </c>
      <c r="J80" s="172">
        <v>9.1389999999999996E-3</v>
      </c>
      <c r="K80" s="172">
        <v>5.4396E-2</v>
      </c>
      <c r="L80" s="172">
        <v>0.119093</v>
      </c>
      <c r="M80" s="172">
        <v>0.75700000000000001</v>
      </c>
      <c r="N80" s="172">
        <v>1.17901E-2</v>
      </c>
      <c r="O80" s="172"/>
      <c r="P80" s="151">
        <v>590</v>
      </c>
      <c r="Q80" s="195">
        <f t="shared" si="8"/>
        <v>0</v>
      </c>
      <c r="R80" s="195">
        <f t="shared" si="9"/>
        <v>1.0655876776116525E-4</v>
      </c>
      <c r="S80" s="195">
        <f t="shared" si="10"/>
        <v>6.3424562108943484E-4</v>
      </c>
      <c r="T80" s="195">
        <f t="shared" si="11"/>
        <v>1.3885986791750142E-3</v>
      </c>
      <c r="U80" s="195">
        <f t="shared" si="12"/>
        <v>8.8264566358684862E-3</v>
      </c>
      <c r="V80" s="195">
        <f t="shared" si="13"/>
        <v>1.374700216414175E-4</v>
      </c>
      <c r="X80" s="151">
        <v>590</v>
      </c>
      <c r="Y80" s="195">
        <f t="shared" si="14"/>
        <v>0</v>
      </c>
      <c r="Z80" s="195">
        <f t="shared" si="15"/>
        <v>6.9929616396258631E-4</v>
      </c>
      <c r="AA80" s="195">
        <f t="shared" si="16"/>
        <v>3.9736804784445759E-3</v>
      </c>
      <c r="AB80" s="195">
        <f t="shared" si="17"/>
        <v>8.52556691770473E-3</v>
      </c>
      <c r="AC80" s="195">
        <f t="shared" si="18"/>
        <v>6.0284835438014946E-2</v>
      </c>
      <c r="AD80" s="195">
        <f t="shared" si="19"/>
        <v>1.0361993071108444E-3</v>
      </c>
      <c r="AF80" s="151">
        <v>590</v>
      </c>
      <c r="AG80" s="167">
        <f>Toolbox!$AA70*Calculations!I80</f>
        <v>0</v>
      </c>
      <c r="AH80" s="167">
        <f>Toolbox!$AA70*Calculations!J80</f>
        <v>16676771377.689936</v>
      </c>
      <c r="AI80" s="167">
        <f>Toolbox!$AA70*Calculations!K80</f>
        <v>99261369500.035217</v>
      </c>
      <c r="AJ80" s="167">
        <f>Toolbox!$AA70*Calculations!L80</f>
        <v>217319918337.15152</v>
      </c>
    </row>
    <row r="81" spans="2:36">
      <c r="B81" s="151">
        <v>595</v>
      </c>
      <c r="C81" s="164">
        <f>SPD!N81</f>
        <v>1.1746595983315991E-2</v>
      </c>
      <c r="E81" s="151">
        <v>595</v>
      </c>
      <c r="F81" s="157">
        <v>0.96844046228532799</v>
      </c>
      <c r="H81" s="151">
        <v>595</v>
      </c>
      <c r="I81" s="172">
        <v>0</v>
      </c>
      <c r="J81" s="172">
        <v>5.9620000000000003E-3</v>
      </c>
      <c r="K81" s="172">
        <v>3.7735999999999999E-2</v>
      </c>
      <c r="L81" s="172">
        <v>8.7479000000000001E-2</v>
      </c>
      <c r="M81" s="172">
        <v>0.69489999999999996</v>
      </c>
      <c r="N81" s="172">
        <v>7.7343000000000004E-3</v>
      </c>
      <c r="O81" s="172"/>
      <c r="P81" s="151">
        <v>595</v>
      </c>
      <c r="Q81" s="195">
        <f t="shared" si="8"/>
        <v>0</v>
      </c>
      <c r="R81" s="195">
        <f t="shared" si="9"/>
        <v>7.003320525252995E-5</v>
      </c>
      <c r="S81" s="195">
        <f t="shared" si="10"/>
        <v>4.4326954602641222E-4</v>
      </c>
      <c r="T81" s="195">
        <f t="shared" si="11"/>
        <v>1.0275804700244997E-3</v>
      </c>
      <c r="U81" s="195">
        <f t="shared" si="12"/>
        <v>8.1627095488062823E-3</v>
      </c>
      <c r="V81" s="195">
        <f t="shared" si="13"/>
        <v>9.085169731376088E-5</v>
      </c>
      <c r="X81" s="151">
        <v>595</v>
      </c>
      <c r="Y81" s="195">
        <f t="shared" si="14"/>
        <v>0</v>
      </c>
      <c r="Z81" s="195">
        <f t="shared" si="15"/>
        <v>4.5959570302901839E-4</v>
      </c>
      <c r="AA81" s="195">
        <f t="shared" si="16"/>
        <v>2.7771757236708886E-3</v>
      </c>
      <c r="AB81" s="195">
        <f t="shared" si="17"/>
        <v>6.3090266409623896E-3</v>
      </c>
      <c r="AC81" s="195">
        <f t="shared" si="18"/>
        <v>5.5751432559967548E-2</v>
      </c>
      <c r="AD81" s="195">
        <f t="shared" si="19"/>
        <v>6.8480723784217538E-4</v>
      </c>
      <c r="AF81" s="151">
        <v>595</v>
      </c>
      <c r="AG81" s="167">
        <f>Toolbox!$AA71*Calculations!I81</f>
        <v>0</v>
      </c>
      <c r="AH81" s="167">
        <f>Toolbox!$AA71*Calculations!J81</f>
        <v>11053294537.938845</v>
      </c>
      <c r="AI81" s="167">
        <f>Toolbox!$AA71*Calculations!K81</f>
        <v>69960939732.247604</v>
      </c>
      <c r="AJ81" s="167">
        <f>Toolbox!$AA71*Calculations!L81</f>
        <v>162182347011.80011</v>
      </c>
    </row>
    <row r="82" spans="2:36">
      <c r="B82" s="151">
        <v>600</v>
      </c>
      <c r="C82" s="164">
        <f>SPD!N82</f>
        <v>1.1833407771297126E-2</v>
      </c>
      <c r="E82" s="151">
        <v>600</v>
      </c>
      <c r="F82" s="157">
        <v>0.97099999999999997</v>
      </c>
      <c r="H82" s="151">
        <v>600</v>
      </c>
      <c r="I82" s="172">
        <v>0</v>
      </c>
      <c r="J82" s="172">
        <v>3.885E-3</v>
      </c>
      <c r="K82" s="172">
        <v>2.5780999999999998E-2</v>
      </c>
      <c r="L82" s="172">
        <v>6.2895000000000006E-2</v>
      </c>
      <c r="M82" s="172">
        <v>0.63100000000000001</v>
      </c>
      <c r="N82" s="172">
        <v>5.0668600000000003E-3</v>
      </c>
      <c r="O82" s="172"/>
      <c r="P82" s="151">
        <v>600</v>
      </c>
      <c r="Q82" s="195">
        <f t="shared" si="8"/>
        <v>0</v>
      </c>
      <c r="R82" s="195">
        <f t="shared" si="9"/>
        <v>4.5972789191489333E-5</v>
      </c>
      <c r="S82" s="195">
        <f t="shared" si="10"/>
        <v>3.050770857518112E-4</v>
      </c>
      <c r="T82" s="195">
        <f t="shared" si="11"/>
        <v>7.442621817757328E-4</v>
      </c>
      <c r="U82" s="195">
        <f t="shared" si="12"/>
        <v>7.4668803036884862E-3</v>
      </c>
      <c r="V82" s="195">
        <f t="shared" si="13"/>
        <v>5.9958220500074557E-5</v>
      </c>
      <c r="X82" s="151">
        <v>600</v>
      </c>
      <c r="Y82" s="195">
        <f t="shared" si="14"/>
        <v>0</v>
      </c>
      <c r="Z82" s="195">
        <f t="shared" si="15"/>
        <v>3.0169826288086561E-4</v>
      </c>
      <c r="AA82" s="195">
        <f t="shared" si="16"/>
        <v>1.91137127283657E-3</v>
      </c>
      <c r="AB82" s="195">
        <f t="shared" si="17"/>
        <v>4.5695398751320554E-3</v>
      </c>
      <c r="AC82" s="195">
        <f t="shared" si="18"/>
        <v>5.0998908045835949E-2</v>
      </c>
      <c r="AD82" s="195">
        <f t="shared" si="19"/>
        <v>4.5194338224398826E-4</v>
      </c>
      <c r="AF82" s="151">
        <v>600</v>
      </c>
      <c r="AG82" s="167">
        <f>Toolbox!$AA72*Calculations!I82</f>
        <v>0</v>
      </c>
      <c r="AH82" s="167">
        <f>Toolbox!$AA72*Calculations!J82</f>
        <v>7316828530.629302</v>
      </c>
      <c r="AI82" s="167">
        <f>Toolbox!$AA72*Calculations!K82</f>
        <v>48554737798.752647</v>
      </c>
      <c r="AJ82" s="167">
        <f>Toolbox!$AA72*Calculations!L82</f>
        <v>118453521347.21494</v>
      </c>
    </row>
    <row r="83" spans="2:36">
      <c r="B83" s="151">
        <v>605</v>
      </c>
      <c r="C83" s="164">
        <f>SPD!N83</f>
        <v>1.1806639817286888E-2</v>
      </c>
      <c r="E83" s="151">
        <v>605</v>
      </c>
      <c r="F83" s="157">
        <v>0.97363079812323805</v>
      </c>
      <c r="H83" s="151">
        <v>605</v>
      </c>
      <c r="I83" s="172">
        <v>0</v>
      </c>
      <c r="J83" s="172">
        <v>2.5330000000000001E-3</v>
      </c>
      <c r="K83" s="172">
        <v>1.7406000000000001E-2</v>
      </c>
      <c r="L83" s="172">
        <v>4.4357000000000001E-2</v>
      </c>
      <c r="M83" s="172">
        <v>0.56679999999999997</v>
      </c>
      <c r="N83" s="172">
        <v>3.3176600000000001E-3</v>
      </c>
      <c r="O83" s="172"/>
      <c r="P83" s="151">
        <v>605</v>
      </c>
      <c r="Q83" s="195">
        <f t="shared" si="8"/>
        <v>0</v>
      </c>
      <c r="R83" s="195">
        <f t="shared" si="9"/>
        <v>2.9906218657187688E-5</v>
      </c>
      <c r="S83" s="195">
        <f t="shared" si="10"/>
        <v>2.055063726596956E-4</v>
      </c>
      <c r="T83" s="195">
        <f t="shared" si="11"/>
        <v>5.2370712237539453E-4</v>
      </c>
      <c r="U83" s="195">
        <f t="shared" si="12"/>
        <v>6.6920034484382078E-3</v>
      </c>
      <c r="V83" s="195">
        <f t="shared" si="13"/>
        <v>3.9170416656220016E-5</v>
      </c>
      <c r="X83" s="151">
        <v>605</v>
      </c>
      <c r="Y83" s="195">
        <f t="shared" si="14"/>
        <v>0</v>
      </c>
      <c r="Z83" s="195">
        <f t="shared" si="15"/>
        <v>1.9626075286898555E-4</v>
      </c>
      <c r="AA83" s="195">
        <f t="shared" si="16"/>
        <v>1.287540085544615E-3</v>
      </c>
      <c r="AB83" s="195">
        <f t="shared" si="17"/>
        <v>3.2153999453194532E-3</v>
      </c>
      <c r="AC83" s="195">
        <f t="shared" si="18"/>
        <v>4.5706487131008312E-2</v>
      </c>
      <c r="AD83" s="195">
        <f t="shared" si="19"/>
        <v>2.9525243477658439E-4</v>
      </c>
      <c r="AF83" s="151">
        <v>605</v>
      </c>
      <c r="AG83" s="167">
        <f>Toolbox!$AA73*Calculations!I83</f>
        <v>0</v>
      </c>
      <c r="AH83" s="167">
        <f>Toolbox!$AA73*Calculations!J83</f>
        <v>4799407796.3031225</v>
      </c>
      <c r="AI83" s="167">
        <f>Toolbox!$AA73*Calculations!K83</f>
        <v>32980060048.342739</v>
      </c>
      <c r="AJ83" s="167">
        <f>Toolbox!$AA73*Calculations!L83</f>
        <v>84045531630.721527</v>
      </c>
    </row>
    <row r="84" spans="2:36">
      <c r="B84" s="151">
        <v>610</v>
      </c>
      <c r="C84" s="164">
        <f>SPD!N84</f>
        <v>1.1779885010601806E-2</v>
      </c>
      <c r="E84" s="151">
        <v>610</v>
      </c>
      <c r="F84" s="157">
        <v>0.97599999999999998</v>
      </c>
      <c r="H84" s="151">
        <v>610</v>
      </c>
      <c r="I84" s="172">
        <v>0</v>
      </c>
      <c r="J84" s="172">
        <v>1.655E-3</v>
      </c>
      <c r="K84" s="172">
        <v>1.1649E-2</v>
      </c>
      <c r="L84" s="172">
        <v>3.0766000000000002E-2</v>
      </c>
      <c r="M84" s="172">
        <v>0.503</v>
      </c>
      <c r="N84" s="172">
        <v>2.1769799999999998E-3</v>
      </c>
      <c r="O84" s="172"/>
      <c r="P84" s="151">
        <v>610</v>
      </c>
      <c r="Q84" s="195">
        <f t="shared" si="8"/>
        <v>0</v>
      </c>
      <c r="R84" s="195">
        <f t="shared" si="9"/>
        <v>1.9495709692545991E-5</v>
      </c>
      <c r="S84" s="195">
        <f t="shared" si="10"/>
        <v>1.3722388048850043E-4</v>
      </c>
      <c r="T84" s="195">
        <f t="shared" si="11"/>
        <v>3.6241994223617521E-4</v>
      </c>
      <c r="U84" s="195">
        <f t="shared" si="12"/>
        <v>5.9252821603327085E-3</v>
      </c>
      <c r="V84" s="195">
        <f t="shared" si="13"/>
        <v>2.5644574070379917E-5</v>
      </c>
      <c r="X84" s="151">
        <v>610</v>
      </c>
      <c r="Y84" s="195">
        <f t="shared" si="14"/>
        <v>0</v>
      </c>
      <c r="Z84" s="195">
        <f t="shared" si="15"/>
        <v>1.2794137252302381E-4</v>
      </c>
      <c r="AA84" s="195">
        <f t="shared" si="16"/>
        <v>8.5973609740803438E-4</v>
      </c>
      <c r="AB84" s="195">
        <f t="shared" si="17"/>
        <v>2.225146484858324E-3</v>
      </c>
      <c r="AC84" s="195">
        <f t="shared" si="18"/>
        <v>4.0469768866010586E-2</v>
      </c>
      <c r="AD84" s="195">
        <f t="shared" si="19"/>
        <v>1.9329952498439425E-4</v>
      </c>
      <c r="AF84" s="151">
        <v>610</v>
      </c>
      <c r="AG84" s="167">
        <f>Toolbox!$AA74*Calculations!I84</f>
        <v>0</v>
      </c>
      <c r="AH84" s="167">
        <f>Toolbox!$AA74*Calculations!J84</f>
        <v>3154566288.7875338</v>
      </c>
      <c r="AI84" s="167">
        <f>Toolbox!$AA74*Calculations!K84</f>
        <v>22203953291.894852</v>
      </c>
      <c r="AJ84" s="167">
        <f>Toolbox!$AA74*Calculations!L84</f>
        <v>58642529571.502884</v>
      </c>
    </row>
    <row r="85" spans="2:36">
      <c r="B85" s="151">
        <v>615</v>
      </c>
      <c r="C85" s="164">
        <f>SPD!N85</f>
        <v>1.1654959127003936E-2</v>
      </c>
      <c r="E85" s="151">
        <v>615</v>
      </c>
      <c r="F85" s="157">
        <v>0.97778634522172103</v>
      </c>
      <c r="H85" s="151">
        <v>615</v>
      </c>
      <c r="I85" s="172">
        <v>0</v>
      </c>
      <c r="J85" s="172">
        <v>1.0839999999999999E-3</v>
      </c>
      <c r="K85" s="172">
        <v>7.7489999999999998E-3</v>
      </c>
      <c r="L85" s="172">
        <v>2.1051E-2</v>
      </c>
      <c r="M85" s="172">
        <v>0.44119999999999998</v>
      </c>
      <c r="N85" s="172">
        <v>1.4331400000000001E-3</v>
      </c>
      <c r="O85" s="172"/>
      <c r="P85" s="151">
        <v>615</v>
      </c>
      <c r="Q85" s="195">
        <f t="shared" si="8"/>
        <v>0</v>
      </c>
      <c r="R85" s="195">
        <f t="shared" si="9"/>
        <v>1.2633975693672265E-5</v>
      </c>
      <c r="S85" s="195">
        <f t="shared" si="10"/>
        <v>9.0314278275153506E-5</v>
      </c>
      <c r="T85" s="195">
        <f t="shared" si="11"/>
        <v>2.4534854458255987E-4</v>
      </c>
      <c r="U85" s="195">
        <f t="shared" si="12"/>
        <v>5.1421679668341366E-3</v>
      </c>
      <c r="V85" s="195">
        <f t="shared" si="13"/>
        <v>1.6703188123274421E-5</v>
      </c>
      <c r="X85" s="151">
        <v>615</v>
      </c>
      <c r="Y85" s="195">
        <f t="shared" si="14"/>
        <v>0</v>
      </c>
      <c r="Z85" s="195">
        <f t="shared" si="15"/>
        <v>8.2910969447240519E-5</v>
      </c>
      <c r="AA85" s="195">
        <f t="shared" si="16"/>
        <v>5.658377016310262E-4</v>
      </c>
      <c r="AB85" s="195">
        <f t="shared" si="17"/>
        <v>1.50636426951148E-3</v>
      </c>
      <c r="AC85" s="195">
        <f t="shared" si="18"/>
        <v>3.5121086803450392E-2</v>
      </c>
      <c r="AD85" s="195">
        <f t="shared" si="19"/>
        <v>1.2590259136661451E-4</v>
      </c>
      <c r="AF85" s="151">
        <v>615</v>
      </c>
      <c r="AG85" s="167">
        <f>Toolbox!$AA75*Calculations!I85</f>
        <v>0</v>
      </c>
      <c r="AH85" s="167">
        <f>Toolbox!$AA75*Calculations!J85</f>
        <v>2061037655.5866585</v>
      </c>
      <c r="AI85" s="167">
        <f>Toolbox!$AA75*Calculations!K85</f>
        <v>14733377115.443743</v>
      </c>
      <c r="AJ85" s="167">
        <f>Toolbox!$AA75*Calculations!L85</f>
        <v>40024818900.142761</v>
      </c>
    </row>
    <row r="86" spans="2:36">
      <c r="B86" s="151">
        <v>620</v>
      </c>
      <c r="C86" s="164">
        <f>SPD!N86</f>
        <v>1.1530033243406066E-2</v>
      </c>
      <c r="E86" s="151">
        <v>620</v>
      </c>
      <c r="F86" s="157">
        <v>0.97900000000000009</v>
      </c>
      <c r="H86" s="151">
        <v>620</v>
      </c>
      <c r="I86" s="172">
        <v>0</v>
      </c>
      <c r="J86" s="172">
        <v>7.1199999999999996E-4</v>
      </c>
      <c r="K86" s="172">
        <v>5.1370000000000001E-3</v>
      </c>
      <c r="L86" s="172">
        <v>1.4253999999999999E-2</v>
      </c>
      <c r="M86" s="172">
        <v>0.38100000000000001</v>
      </c>
      <c r="N86" s="172">
        <v>9.4731299999999997E-4</v>
      </c>
      <c r="O86" s="172"/>
      <c r="P86" s="151">
        <v>620</v>
      </c>
      <c r="Q86" s="195">
        <f t="shared" si="8"/>
        <v>0</v>
      </c>
      <c r="R86" s="195">
        <f t="shared" si="9"/>
        <v>8.2093836693051195E-6</v>
      </c>
      <c r="S86" s="195">
        <f t="shared" si="10"/>
        <v>5.9229780771376966E-5</v>
      </c>
      <c r="T86" s="195">
        <f t="shared" si="11"/>
        <v>1.6434909385151005E-4</v>
      </c>
      <c r="U86" s="195">
        <f t="shared" si="12"/>
        <v>4.392942665737711E-3</v>
      </c>
      <c r="V86" s="195">
        <f t="shared" si="13"/>
        <v>1.0922550381910731E-5</v>
      </c>
      <c r="X86" s="151">
        <v>620</v>
      </c>
      <c r="Y86" s="195">
        <f t="shared" si="14"/>
        <v>0</v>
      </c>
      <c r="Z86" s="195">
        <f t="shared" si="15"/>
        <v>5.387440779447874E-5</v>
      </c>
      <c r="AA86" s="195">
        <f t="shared" si="16"/>
        <v>3.7108687197476834E-4</v>
      </c>
      <c r="AB86" s="195">
        <f t="shared" si="17"/>
        <v>1.0090526647538206E-3</v>
      </c>
      <c r="AC86" s="195">
        <f t="shared" si="18"/>
        <v>3.0003866400525818E-2</v>
      </c>
      <c r="AD86" s="195">
        <f t="shared" si="19"/>
        <v>8.2330234639384656E-5</v>
      </c>
      <c r="AF86" s="151">
        <v>620</v>
      </c>
      <c r="AG86" s="167">
        <f>Toolbox!$AA76*Calculations!I86</f>
        <v>0</v>
      </c>
      <c r="AH86" s="167">
        <f>Toolbox!$AA76*Calculations!J86</f>
        <v>1350122006.8883603</v>
      </c>
      <c r="AI86" s="167">
        <f>Toolbox!$AA76*Calculations!K86</f>
        <v>9740978580.5976219</v>
      </c>
      <c r="AJ86" s="167">
        <f>Toolbox!$AA76*Calculations!L86</f>
        <v>27028987480.599277</v>
      </c>
    </row>
    <row r="87" spans="2:36">
      <c r="B87" s="151">
        <v>625</v>
      </c>
      <c r="C87" s="164">
        <f>SPD!N87</f>
        <v>1.1240121576471042E-2</v>
      </c>
      <c r="E87" s="151">
        <v>625</v>
      </c>
      <c r="F87" s="157">
        <v>0.97984882098987991</v>
      </c>
      <c r="H87" s="151">
        <v>625</v>
      </c>
      <c r="I87" s="172">
        <v>0</v>
      </c>
      <c r="J87" s="172">
        <v>4.6999999999999999E-4</v>
      </c>
      <c r="K87" s="172">
        <v>3.4009999999999999E-3</v>
      </c>
      <c r="L87" s="172">
        <v>9.5820000000000002E-3</v>
      </c>
      <c r="M87" s="172">
        <v>0.32100000000000001</v>
      </c>
      <c r="N87" s="172">
        <v>6.2764799999999996E-4</v>
      </c>
      <c r="O87" s="172"/>
      <c r="P87" s="151">
        <v>625</v>
      </c>
      <c r="Q87" s="195">
        <f t="shared" ref="Q87:Q118" si="20">$C87*I87</f>
        <v>0</v>
      </c>
      <c r="R87" s="195">
        <f t="shared" ref="R87:R118" si="21">$C87*J87</f>
        <v>5.2828571409413897E-6</v>
      </c>
      <c r="S87" s="195">
        <f t="shared" ref="S87:S118" si="22">$C87*K87</f>
        <v>3.8227653481578012E-5</v>
      </c>
      <c r="T87" s="195">
        <f t="shared" ref="T87:T118" si="23">$C87*L87</f>
        <v>1.0770284494574553E-4</v>
      </c>
      <c r="U87" s="195">
        <f t="shared" ref="U87:U118" si="24">$C87*M87</f>
        <v>3.6080790260472045E-3</v>
      </c>
      <c r="V87" s="195">
        <f t="shared" ref="V87:V118" si="25">$C87*N87</f>
        <v>7.0548398272288958E-6</v>
      </c>
      <c r="X87" s="151">
        <v>625</v>
      </c>
      <c r="Y87" s="195">
        <f t="shared" ref="Y87:Y118" si="26">Q87*Y$18</f>
        <v>0</v>
      </c>
      <c r="Z87" s="195">
        <f t="shared" ref="Z87:Z118" si="27">R87*Z$18</f>
        <v>3.4668960715675905E-5</v>
      </c>
      <c r="AA87" s="195">
        <f t="shared" ref="AA87:AA118" si="28">S87*AA$18</f>
        <v>2.3950418469672073E-4</v>
      </c>
      <c r="AB87" s="195">
        <f t="shared" ref="AB87:AB118" si="29">T87*AB$18</f>
        <v>6.6126219589785439E-4</v>
      </c>
      <c r="AC87" s="195">
        <f t="shared" ref="AC87:AC118" si="30">U87*AC$18</f>
        <v>2.4643235593396949E-2</v>
      </c>
      <c r="AD87" s="195">
        <f t="shared" ref="AD87:AD118" si="31">V87*AD$18</f>
        <v>5.3176831235400926E-5</v>
      </c>
      <c r="AF87" s="151">
        <v>625</v>
      </c>
      <c r="AG87" s="167">
        <f>Toolbox!$AA77*Calculations!I87</f>
        <v>0</v>
      </c>
      <c r="AH87" s="167">
        <f>Toolbox!$AA77*Calculations!J87</f>
        <v>875829678.54172635</v>
      </c>
      <c r="AI87" s="167">
        <f>Toolbox!$AA77*Calculations!K87</f>
        <v>6337652631.3200245</v>
      </c>
      <c r="AJ87" s="167">
        <f>Toolbox!$AA77*Calculations!L87</f>
        <v>17855744637.844303</v>
      </c>
    </row>
    <row r="88" spans="2:36">
      <c r="B88" s="151">
        <v>630</v>
      </c>
      <c r="C88" s="164">
        <f>SPD!N88</f>
        <v>1.0950223056861169E-2</v>
      </c>
      <c r="E88" s="151">
        <v>630</v>
      </c>
      <c r="F88" s="157">
        <v>0.98099999999999998</v>
      </c>
      <c r="H88" s="151">
        <v>630</v>
      </c>
      <c r="I88" s="172">
        <v>0</v>
      </c>
      <c r="J88" s="172">
        <v>3.1199999999999999E-4</v>
      </c>
      <c r="K88" s="172">
        <v>2.2539999999999999E-3</v>
      </c>
      <c r="L88" s="172">
        <v>6.4180000000000001E-3</v>
      </c>
      <c r="M88" s="172">
        <v>0.26500000000000001</v>
      </c>
      <c r="N88" s="172">
        <v>4.1795500000000007E-4</v>
      </c>
      <c r="O88" s="172"/>
      <c r="P88" s="151">
        <v>630</v>
      </c>
      <c r="Q88" s="195">
        <f t="shared" si="20"/>
        <v>0</v>
      </c>
      <c r="R88" s="195">
        <f t="shared" si="21"/>
        <v>3.4164695937406845E-6</v>
      </c>
      <c r="S88" s="195">
        <f t="shared" si="22"/>
        <v>2.4681802770165073E-5</v>
      </c>
      <c r="T88" s="195">
        <f t="shared" si="23"/>
        <v>7.0278531578934984E-5</v>
      </c>
      <c r="U88" s="195">
        <f t="shared" si="24"/>
        <v>2.9018091100682097E-3</v>
      </c>
      <c r="V88" s="195">
        <f t="shared" si="25"/>
        <v>4.5767004777304106E-6</v>
      </c>
      <c r="X88" s="151">
        <v>630</v>
      </c>
      <c r="Y88" s="195">
        <f t="shared" si="26"/>
        <v>0</v>
      </c>
      <c r="Z88" s="195">
        <f t="shared" si="27"/>
        <v>2.2420717988711385E-5</v>
      </c>
      <c r="AA88" s="195">
        <f t="shared" si="28"/>
        <v>1.5463661802214365E-4</v>
      </c>
      <c r="AB88" s="195">
        <f t="shared" si="29"/>
        <v>4.3148847312040299E-4</v>
      </c>
      <c r="AC88" s="195">
        <f t="shared" si="30"/>
        <v>1.981940113568368E-2</v>
      </c>
      <c r="AD88" s="195">
        <f t="shared" si="31"/>
        <v>3.4497513037775808E-5</v>
      </c>
      <c r="AF88" s="151">
        <v>630</v>
      </c>
      <c r="AG88" s="167">
        <f>Toolbox!$AA78*Calculations!I88</f>
        <v>0</v>
      </c>
      <c r="AH88" s="167">
        <f>Toolbox!$AA78*Calculations!J88</f>
        <v>570937912.81743407</v>
      </c>
      <c r="AI88" s="167">
        <f>Toolbox!$AA78*Calculations!K88</f>
        <v>4124660434.2644119</v>
      </c>
      <c r="AJ88" s="167">
        <f>Toolbox!$AA78*Calculations!L88</f>
        <v>11744485655.32786</v>
      </c>
    </row>
    <row r="89" spans="2:36">
      <c r="B89" s="151">
        <v>635</v>
      </c>
      <c r="C89" s="164">
        <f>SPD!N89</f>
        <v>1.0977214515398993E-2</v>
      </c>
      <c r="E89" s="151">
        <v>635</v>
      </c>
      <c r="F89" s="157">
        <v>0.98294337081876093</v>
      </c>
      <c r="H89" s="151">
        <v>635</v>
      </c>
      <c r="I89" s="172">
        <v>0</v>
      </c>
      <c r="J89" s="172">
        <v>2.0799999999999999E-4</v>
      </c>
      <c r="K89" s="172">
        <v>1.4989999999999999E-3</v>
      </c>
      <c r="L89" s="172">
        <v>4.2940000000000001E-3</v>
      </c>
      <c r="M89" s="172">
        <v>0.217</v>
      </c>
      <c r="N89" s="172">
        <v>2.7980099999999999E-4</v>
      </c>
      <c r="O89" s="172"/>
      <c r="P89" s="151">
        <v>635</v>
      </c>
      <c r="Q89" s="195">
        <f t="shared" si="20"/>
        <v>0</v>
      </c>
      <c r="R89" s="195">
        <f t="shared" si="21"/>
        <v>2.2832606192029904E-6</v>
      </c>
      <c r="S89" s="195">
        <f t="shared" si="22"/>
        <v>1.6454844558583091E-5</v>
      </c>
      <c r="T89" s="195">
        <f t="shared" si="23"/>
        <v>4.713615912912328E-5</v>
      </c>
      <c r="U89" s="195">
        <f t="shared" si="24"/>
        <v>2.3820555498415817E-3</v>
      </c>
      <c r="V89" s="195">
        <f t="shared" si="25"/>
        <v>3.0714355986231538E-6</v>
      </c>
      <c r="X89" s="151">
        <v>635</v>
      </c>
      <c r="Y89" s="195">
        <f t="shared" si="26"/>
        <v>0</v>
      </c>
      <c r="Z89" s="195">
        <f t="shared" si="27"/>
        <v>1.4983988890657858E-5</v>
      </c>
      <c r="AA89" s="195">
        <f t="shared" si="28"/>
        <v>1.0309301700178623E-4</v>
      </c>
      <c r="AB89" s="195">
        <f t="shared" si="29"/>
        <v>2.8940145552901669E-4</v>
      </c>
      <c r="AC89" s="195">
        <f t="shared" si="30"/>
        <v>1.6269476274641002E-2</v>
      </c>
      <c r="AD89" s="195">
        <f t="shared" si="31"/>
        <v>2.3151370757986567E-5</v>
      </c>
      <c r="AF89" s="151">
        <v>635</v>
      </c>
      <c r="AG89" s="167">
        <f>Toolbox!$AA79*Calculations!I89</f>
        <v>0</v>
      </c>
      <c r="AH89" s="167">
        <f>Toolbox!$AA79*Calculations!J89</f>
        <v>384591768.91688275</v>
      </c>
      <c r="AI89" s="167">
        <f>Toolbox!$AA79*Calculations!K89</f>
        <v>2771649334.6461887</v>
      </c>
      <c r="AJ89" s="167">
        <f>Toolbox!$AA79*Calculations!L89</f>
        <v>7939601229.4668007</v>
      </c>
    </row>
    <row r="90" spans="2:36">
      <c r="B90" s="151">
        <v>640</v>
      </c>
      <c r="C90" s="164">
        <f>SPD!N90</f>
        <v>1.1004205973936821E-2</v>
      </c>
      <c r="E90" s="151">
        <v>640</v>
      </c>
      <c r="F90" s="157">
        <v>0.98499999999999999</v>
      </c>
      <c r="H90" s="151">
        <v>640</v>
      </c>
      <c r="I90" s="172">
        <v>0</v>
      </c>
      <c r="J90" s="172">
        <v>1.3999999999999999E-4</v>
      </c>
      <c r="K90" s="172">
        <v>1E-3</v>
      </c>
      <c r="L90" s="172">
        <v>2.872E-3</v>
      </c>
      <c r="M90" s="172">
        <v>0.17499999999999999</v>
      </c>
      <c r="N90" s="172">
        <v>1.8834099999999999E-4</v>
      </c>
      <c r="O90" s="172"/>
      <c r="P90" s="151">
        <v>640</v>
      </c>
      <c r="Q90" s="195">
        <f t="shared" si="20"/>
        <v>0</v>
      </c>
      <c r="R90" s="195">
        <f t="shared" si="21"/>
        <v>1.5405888363511549E-6</v>
      </c>
      <c r="S90" s="195">
        <f t="shared" si="22"/>
        <v>1.1004205973936822E-5</v>
      </c>
      <c r="T90" s="195">
        <f t="shared" si="23"/>
        <v>3.1604079557146553E-5</v>
      </c>
      <c r="U90" s="195">
        <f t="shared" si="24"/>
        <v>1.9257360454389436E-3</v>
      </c>
      <c r="V90" s="195">
        <f t="shared" si="25"/>
        <v>2.072543157337235E-6</v>
      </c>
      <c r="X90" s="151">
        <v>640</v>
      </c>
      <c r="Y90" s="195">
        <f t="shared" si="26"/>
        <v>0</v>
      </c>
      <c r="Z90" s="195">
        <f t="shared" si="27"/>
        <v>1.0110175691207396E-5</v>
      </c>
      <c r="AA90" s="195">
        <f t="shared" si="28"/>
        <v>6.8943634777180371E-5</v>
      </c>
      <c r="AB90" s="195">
        <f t="shared" si="29"/>
        <v>1.9403928520009587E-4</v>
      </c>
      <c r="AC90" s="195">
        <f t="shared" si="30"/>
        <v>1.315280699670229E-2</v>
      </c>
      <c r="AD90" s="195">
        <f t="shared" si="31"/>
        <v>1.5622080784943568E-5</v>
      </c>
      <c r="AF90" s="151">
        <v>640</v>
      </c>
      <c r="AG90" s="167">
        <f>Toolbox!$AA80*Calculations!I90</f>
        <v>0</v>
      </c>
      <c r="AH90" s="167">
        <f>Toolbox!$AA80*Calculations!J90</f>
        <v>261539623.47494924</v>
      </c>
      <c r="AI90" s="167">
        <f>Toolbox!$AA80*Calculations!K90</f>
        <v>1868140167.6782091</v>
      </c>
      <c r="AJ90" s="167">
        <f>Toolbox!$AA80*Calculations!L90</f>
        <v>5365298561.5718164</v>
      </c>
    </row>
    <row r="91" spans="2:36">
      <c r="B91" s="151">
        <v>645</v>
      </c>
      <c r="C91" s="164">
        <f>SPD!N91</f>
        <v>1.0762794789488907E-2</v>
      </c>
      <c r="E91" s="151">
        <v>645</v>
      </c>
      <c r="F91" s="157">
        <v>0.98650269573507798</v>
      </c>
      <c r="H91" s="151">
        <v>645</v>
      </c>
      <c r="I91" s="172">
        <v>0</v>
      </c>
      <c r="J91" s="172">
        <v>9.3999999999999994E-5</v>
      </c>
      <c r="K91" s="172">
        <v>6.69E-4</v>
      </c>
      <c r="L91" s="172">
        <v>1.923E-3</v>
      </c>
      <c r="M91" s="172">
        <v>0.13819999999999999</v>
      </c>
      <c r="N91" s="172">
        <v>1.2733699999999999E-4</v>
      </c>
      <c r="O91" s="172"/>
      <c r="P91" s="151">
        <v>645</v>
      </c>
      <c r="Q91" s="195">
        <f t="shared" si="20"/>
        <v>0</v>
      </c>
      <c r="R91" s="195">
        <f t="shared" si="21"/>
        <v>1.0117027102119572E-6</v>
      </c>
      <c r="S91" s="195">
        <f t="shared" si="22"/>
        <v>7.2003097141680791E-6</v>
      </c>
      <c r="T91" s="195">
        <f t="shared" si="23"/>
        <v>2.069685438018717E-5</v>
      </c>
      <c r="U91" s="195">
        <f t="shared" si="24"/>
        <v>1.4874182399073669E-3</v>
      </c>
      <c r="V91" s="195">
        <f t="shared" si="25"/>
        <v>1.370502000109149E-6</v>
      </c>
      <c r="X91" s="151">
        <v>645</v>
      </c>
      <c r="Y91" s="195">
        <f t="shared" si="26"/>
        <v>0</v>
      </c>
      <c r="Z91" s="195">
        <f t="shared" si="27"/>
        <v>6.6393393916442308E-6</v>
      </c>
      <c r="AA91" s="195">
        <f t="shared" si="28"/>
        <v>4.5111435063278117E-5</v>
      </c>
      <c r="AB91" s="195">
        <f t="shared" si="29"/>
        <v>1.2707229212482673E-4</v>
      </c>
      <c r="AC91" s="195">
        <f t="shared" si="30"/>
        <v>1.0159089600681466E-2</v>
      </c>
      <c r="AD91" s="195">
        <f t="shared" si="31"/>
        <v>1.0330348434885744E-5</v>
      </c>
      <c r="AF91" s="151">
        <v>645</v>
      </c>
      <c r="AG91" s="167">
        <f>Toolbox!$AA81*Calculations!I91</f>
        <v>0</v>
      </c>
      <c r="AH91" s="167">
        <f>Toolbox!$AA81*Calculations!J91</f>
        <v>173094553.07448533</v>
      </c>
      <c r="AI91" s="167">
        <f>Toolbox!$AA81*Calculations!K91</f>
        <v>1231917617.0939436</v>
      </c>
      <c r="AJ91" s="167">
        <f>Toolbox!$AA81*Calculations!L91</f>
        <v>3541072612.3642058</v>
      </c>
    </row>
    <row r="92" spans="2:36">
      <c r="B92" s="151">
        <v>650</v>
      </c>
      <c r="C92" s="164">
        <f>SPD!N92</f>
        <v>1.0521383605040993E-2</v>
      </c>
      <c r="E92" s="151">
        <v>650</v>
      </c>
      <c r="F92" s="157">
        <v>0.98799999999999999</v>
      </c>
      <c r="H92" s="151">
        <v>650</v>
      </c>
      <c r="I92" s="172">
        <v>0</v>
      </c>
      <c r="J92" s="172">
        <v>6.3999999999999997E-5</v>
      </c>
      <c r="K92" s="172">
        <v>4.4900000000000002E-4</v>
      </c>
      <c r="L92" s="172">
        <v>1.2899999999999999E-3</v>
      </c>
      <c r="M92" s="172">
        <v>0.107</v>
      </c>
      <c r="N92" s="172">
        <v>8.6575099999999997E-5</v>
      </c>
      <c r="O92" s="172"/>
      <c r="P92" s="151">
        <v>650</v>
      </c>
      <c r="Q92" s="195">
        <f t="shared" si="20"/>
        <v>0</v>
      </c>
      <c r="R92" s="195">
        <f t="shared" si="21"/>
        <v>6.7336855072262354E-7</v>
      </c>
      <c r="S92" s="195">
        <f t="shared" si="22"/>
        <v>4.7241012386634062E-6</v>
      </c>
      <c r="T92" s="195">
        <f t="shared" si="23"/>
        <v>1.3572584850502881E-5</v>
      </c>
      <c r="U92" s="195">
        <f t="shared" si="24"/>
        <v>1.1257880457393862E-3</v>
      </c>
      <c r="V92" s="195">
        <f t="shared" si="25"/>
        <v>9.1088983774478444E-7</v>
      </c>
      <c r="X92" s="151">
        <v>650</v>
      </c>
      <c r="Y92" s="195">
        <f t="shared" si="26"/>
        <v>0</v>
      </c>
      <c r="Z92" s="195">
        <f t="shared" si="27"/>
        <v>4.4190079741611648E-6</v>
      </c>
      <c r="AA92" s="195">
        <f t="shared" si="28"/>
        <v>2.9597474930970898E-5</v>
      </c>
      <c r="AB92" s="195">
        <f t="shared" si="29"/>
        <v>8.3331478075389666E-5</v>
      </c>
      <c r="AC92" s="195">
        <f t="shared" si="30"/>
        <v>7.6891497772373545E-3</v>
      </c>
      <c r="AD92" s="195">
        <f t="shared" si="31"/>
        <v>6.8659581736843516E-6</v>
      </c>
      <c r="AF92" s="151">
        <v>650</v>
      </c>
      <c r="AG92" s="167">
        <f>Toolbox!$AA82*Calculations!I92</f>
        <v>0</v>
      </c>
      <c r="AH92" s="167">
        <f>Toolbox!$AA82*Calculations!J92</f>
        <v>116101267.06227516</v>
      </c>
      <c r="AI92" s="167">
        <f>Toolbox!$AA82*Calculations!K92</f>
        <v>814522951.73377419</v>
      </c>
      <c r="AJ92" s="167">
        <f>Toolbox!$AA82*Calculations!L92</f>
        <v>2340166164.2239833</v>
      </c>
    </row>
    <row r="93" spans="2:36">
      <c r="B93" s="151">
        <v>655</v>
      </c>
      <c r="C93" s="164">
        <f>SPD!N93</f>
        <v>1.0533728943359074E-2</v>
      </c>
      <c r="E93" s="151">
        <v>655</v>
      </c>
      <c r="F93" s="157">
        <v>0.99004584624092695</v>
      </c>
      <c r="H93" s="151">
        <v>655</v>
      </c>
      <c r="I93" s="172">
        <v>0</v>
      </c>
      <c r="J93" s="172">
        <v>4.3999999999999999E-5</v>
      </c>
      <c r="K93" s="172">
        <v>3.0400000000000002E-4</v>
      </c>
      <c r="L93" s="172">
        <v>8.6899999999999998E-4</v>
      </c>
      <c r="M93" s="172">
        <v>8.1600000000000006E-2</v>
      </c>
      <c r="N93" s="172">
        <v>5.9191399999999997E-5</v>
      </c>
      <c r="O93" s="172"/>
      <c r="P93" s="151">
        <v>655</v>
      </c>
      <c r="Q93" s="195">
        <f t="shared" si="20"/>
        <v>0</v>
      </c>
      <c r="R93" s="195">
        <f t="shared" si="21"/>
        <v>4.6348407350779924E-7</v>
      </c>
      <c r="S93" s="195">
        <f t="shared" si="22"/>
        <v>3.2022535987811586E-6</v>
      </c>
      <c r="T93" s="195">
        <f t="shared" si="23"/>
        <v>9.1538104517790351E-6</v>
      </c>
      <c r="U93" s="195">
        <f t="shared" si="24"/>
        <v>8.595522817781005E-4</v>
      </c>
      <c r="V93" s="195">
        <f t="shared" si="25"/>
        <v>6.2350616337794426E-7</v>
      </c>
      <c r="X93" s="151">
        <v>655</v>
      </c>
      <c r="Y93" s="195">
        <f t="shared" si="26"/>
        <v>0</v>
      </c>
      <c r="Z93" s="195">
        <f t="shared" si="27"/>
        <v>3.041632720342684E-6</v>
      </c>
      <c r="AA93" s="195">
        <f t="shared" si="28"/>
        <v>2.006278354850678E-5</v>
      </c>
      <c r="AB93" s="195">
        <f t="shared" si="29"/>
        <v>5.6201568335779073E-5</v>
      </c>
      <c r="AC93" s="195">
        <f t="shared" si="30"/>
        <v>5.8707553886106385E-3</v>
      </c>
      <c r="AD93" s="195">
        <f t="shared" si="31"/>
        <v>4.6997639685896019E-6</v>
      </c>
      <c r="AF93" s="151">
        <v>655</v>
      </c>
      <c r="AG93" s="167">
        <f>Toolbox!$AA83*Calculations!I93</f>
        <v>0</v>
      </c>
      <c r="AH93" s="167">
        <f>Toolbox!$AA83*Calculations!J93</f>
        <v>80527995.533681154</v>
      </c>
      <c r="AI93" s="167">
        <f>Toolbox!$AA83*Calculations!K93</f>
        <v>556375241.86906981</v>
      </c>
      <c r="AJ93" s="167">
        <f>Toolbox!$AA83*Calculations!L93</f>
        <v>1590427911.7902029</v>
      </c>
    </row>
    <row r="94" spans="2:36">
      <c r="B94" s="151">
        <v>660</v>
      </c>
      <c r="C94" s="164">
        <f>SPD!N94</f>
        <v>1.0546074281677155E-2</v>
      </c>
      <c r="E94" s="151">
        <v>660</v>
      </c>
      <c r="F94" s="157">
        <v>0.99199999999999999</v>
      </c>
      <c r="H94" s="151">
        <v>660</v>
      </c>
      <c r="I94" s="172">
        <v>0</v>
      </c>
      <c r="J94" s="172">
        <v>3.0000000000000001E-5</v>
      </c>
      <c r="K94" s="172">
        <v>2.0599999999999999E-4</v>
      </c>
      <c r="L94" s="172">
        <v>5.8799999999999998E-4</v>
      </c>
      <c r="M94" s="172">
        <v>6.0999999999999999E-2</v>
      </c>
      <c r="N94" s="172">
        <v>4.0694500000000001E-5</v>
      </c>
      <c r="O94" s="172"/>
      <c r="P94" s="151">
        <v>660</v>
      </c>
      <c r="Q94" s="195">
        <f t="shared" si="20"/>
        <v>0</v>
      </c>
      <c r="R94" s="195">
        <f t="shared" si="21"/>
        <v>3.1638222845031465E-7</v>
      </c>
      <c r="S94" s="195">
        <f t="shared" si="22"/>
        <v>2.1724913020254939E-6</v>
      </c>
      <c r="T94" s="195">
        <f t="shared" si="23"/>
        <v>6.2010916776261666E-6</v>
      </c>
      <c r="U94" s="195">
        <f t="shared" si="24"/>
        <v>6.4331053118230638E-4</v>
      </c>
      <c r="V94" s="195">
        <f t="shared" si="25"/>
        <v>4.2916721985571101E-7</v>
      </c>
      <c r="X94" s="151">
        <v>660</v>
      </c>
      <c r="Y94" s="195">
        <f t="shared" si="26"/>
        <v>0</v>
      </c>
      <c r="Z94" s="195">
        <f t="shared" si="27"/>
        <v>2.0762709943974329E-6</v>
      </c>
      <c r="AA94" s="195">
        <f t="shared" si="28"/>
        <v>1.3611108992161314E-5</v>
      </c>
      <c r="AB94" s="195">
        <f t="shared" si="29"/>
        <v>3.8072787230240831E-5</v>
      </c>
      <c r="AC94" s="195">
        <f t="shared" si="30"/>
        <v>4.3938208850726823E-3</v>
      </c>
      <c r="AD94" s="195">
        <f t="shared" si="31"/>
        <v>3.2349072949821475E-6</v>
      </c>
      <c r="AF94" s="151">
        <v>660</v>
      </c>
      <c r="AG94" s="167">
        <f>Toolbox!$AA84*Calculations!I94</f>
        <v>0</v>
      </c>
      <c r="AH94" s="167">
        <f>Toolbox!$AA84*Calculations!J94</f>
        <v>55389416.480122447</v>
      </c>
      <c r="AI94" s="167">
        <f>Toolbox!$AA84*Calculations!K94</f>
        <v>380340659.83017415</v>
      </c>
      <c r="AJ94" s="167">
        <f>Toolbox!$AA84*Calculations!L94</f>
        <v>1085632563.0104001</v>
      </c>
    </row>
    <row r="95" spans="2:36">
      <c r="B95" s="151">
        <v>665</v>
      </c>
      <c r="C95" s="164">
        <f>SPD!N95</f>
        <v>1.0681702087949057E-2</v>
      </c>
      <c r="E95" s="151">
        <v>665</v>
      </c>
      <c r="F95" s="157">
        <v>0.993188919301215</v>
      </c>
      <c r="H95" s="151">
        <v>665</v>
      </c>
      <c r="I95" s="172">
        <v>0</v>
      </c>
      <c r="J95" s="172">
        <v>2.0999999999999999E-5</v>
      </c>
      <c r="K95" s="172">
        <v>1.3999999999999999E-4</v>
      </c>
      <c r="L95" s="172">
        <v>3.9899999999999999E-4</v>
      </c>
      <c r="M95" s="172">
        <v>4.4580000000000002E-2</v>
      </c>
      <c r="N95" s="172">
        <v>2.8132000000000001E-5</v>
      </c>
      <c r="O95" s="172"/>
      <c r="P95" s="151">
        <v>665</v>
      </c>
      <c r="Q95" s="195">
        <f t="shared" si="20"/>
        <v>0</v>
      </c>
      <c r="R95" s="195">
        <f t="shared" si="21"/>
        <v>2.2431574384693019E-7</v>
      </c>
      <c r="S95" s="195">
        <f t="shared" si="22"/>
        <v>1.4954382923128678E-6</v>
      </c>
      <c r="T95" s="195">
        <f t="shared" si="23"/>
        <v>4.2619991330916737E-6</v>
      </c>
      <c r="U95" s="195">
        <f t="shared" si="24"/>
        <v>4.76190279080769E-4</v>
      </c>
      <c r="V95" s="195">
        <f t="shared" si="25"/>
        <v>3.0049764313818289E-7</v>
      </c>
      <c r="X95" s="151">
        <v>665</v>
      </c>
      <c r="Y95" s="195">
        <f t="shared" si="26"/>
        <v>0</v>
      </c>
      <c r="Z95" s="195">
        <f t="shared" si="27"/>
        <v>1.472081016741452E-6</v>
      </c>
      <c r="AA95" s="195">
        <f t="shared" si="28"/>
        <v>9.3692313376558573E-6</v>
      </c>
      <c r="AB95" s="195">
        <f t="shared" si="29"/>
        <v>2.6167358040380901E-5</v>
      </c>
      <c r="AC95" s="195">
        <f t="shared" si="30"/>
        <v>3.2523869765482532E-3</v>
      </c>
      <c r="AD95" s="195">
        <f t="shared" si="31"/>
        <v>2.2650425590273895E-6</v>
      </c>
      <c r="AF95" s="151">
        <v>665</v>
      </c>
      <c r="AG95" s="167">
        <f>Toolbox!$AA85*Calculations!I95</f>
        <v>0</v>
      </c>
      <c r="AH95" s="167">
        <f>Toolbox!$AA85*Calculations!J95</f>
        <v>39568735.807395883</v>
      </c>
      <c r="AI95" s="167">
        <f>Toolbox!$AA85*Calculations!K95</f>
        <v>263791572.04930589</v>
      </c>
      <c r="AJ95" s="167">
        <f>Toolbox!$AA85*Calculations!L95</f>
        <v>751805980.34052181</v>
      </c>
    </row>
    <row r="96" spans="2:36">
      <c r="B96" s="151">
        <v>670</v>
      </c>
      <c r="C96" s="164">
        <f>SPD!N96</f>
        <v>1.081732989422096E-2</v>
      </c>
      <c r="E96" s="151">
        <v>670</v>
      </c>
      <c r="F96" s="157">
        <v>0.99400000000000011</v>
      </c>
      <c r="H96" s="151">
        <v>670</v>
      </c>
      <c r="I96" s="172">
        <v>0</v>
      </c>
      <c r="J96" s="172">
        <v>1.4E-5</v>
      </c>
      <c r="K96" s="172">
        <v>9.6000000000000002E-5</v>
      </c>
      <c r="L96" s="172">
        <v>2.7099999999999997E-4</v>
      </c>
      <c r="M96" s="172">
        <v>3.2000000000000001E-2</v>
      </c>
      <c r="N96" s="172">
        <v>1.9553499999999998E-5</v>
      </c>
      <c r="O96" s="172"/>
      <c r="P96" s="151">
        <v>670</v>
      </c>
      <c r="Q96" s="195">
        <f t="shared" si="20"/>
        <v>0</v>
      </c>
      <c r="R96" s="195">
        <f t="shared" si="21"/>
        <v>1.5144261851909343E-7</v>
      </c>
      <c r="S96" s="195">
        <f t="shared" si="22"/>
        <v>1.0384636698452122E-6</v>
      </c>
      <c r="T96" s="195">
        <f t="shared" si="23"/>
        <v>2.9314964013338798E-6</v>
      </c>
      <c r="U96" s="195">
        <f t="shared" si="24"/>
        <v>3.4615455661507071E-4</v>
      </c>
      <c r="V96" s="195">
        <f t="shared" si="25"/>
        <v>2.1151666008664952E-7</v>
      </c>
      <c r="X96" s="151">
        <v>670</v>
      </c>
      <c r="Y96" s="195">
        <f t="shared" si="26"/>
        <v>0</v>
      </c>
      <c r="Z96" s="195">
        <f t="shared" si="27"/>
        <v>9.9384822493646749E-7</v>
      </c>
      <c r="AA96" s="195">
        <f t="shared" si="28"/>
        <v>6.5061904650595169E-6</v>
      </c>
      <c r="AB96" s="195">
        <f t="shared" si="29"/>
        <v>1.7998482292544802E-5</v>
      </c>
      <c r="AC96" s="195">
        <f t="shared" si="30"/>
        <v>2.3642409794273301E-3</v>
      </c>
      <c r="AD96" s="195">
        <f t="shared" si="31"/>
        <v>1.5943360887502242E-6</v>
      </c>
      <c r="AF96" s="151">
        <v>670</v>
      </c>
      <c r="AG96" s="167">
        <f>Toolbox!$AA86*Calculations!I96</f>
        <v>0</v>
      </c>
      <c r="AH96" s="167">
        <f>Toolbox!$AA86*Calculations!J96</f>
        <v>26914956.769435614</v>
      </c>
      <c r="AI96" s="167">
        <f>Toolbox!$AA86*Calculations!K96</f>
        <v>184559703.56184423</v>
      </c>
      <c r="AJ96" s="167">
        <f>Toolbox!$AA86*Calculations!L96</f>
        <v>520996663.17978936</v>
      </c>
    </row>
    <row r="97" spans="2:36">
      <c r="B97" s="151">
        <v>675</v>
      </c>
      <c r="C97" s="164">
        <f>SPD!N97</f>
        <v>1.0554804105578333E-2</v>
      </c>
      <c r="E97" s="151">
        <v>675</v>
      </c>
      <c r="F97" s="157">
        <v>0.99494847655421392</v>
      </c>
      <c r="H97" s="151">
        <v>675</v>
      </c>
      <c r="I97" s="172">
        <v>0</v>
      </c>
      <c r="J97" s="172">
        <v>1.0000000000000001E-5</v>
      </c>
      <c r="K97" s="172">
        <v>6.6000000000000005E-5</v>
      </c>
      <c r="L97" s="172">
        <v>1.8599999999999999E-4</v>
      </c>
      <c r="M97" s="172">
        <v>2.3199999999999998E-2</v>
      </c>
      <c r="N97" s="172">
        <v>1.3648000000000002E-5</v>
      </c>
      <c r="O97" s="172"/>
      <c r="P97" s="151">
        <v>675</v>
      </c>
      <c r="Q97" s="195">
        <f t="shared" si="20"/>
        <v>0</v>
      </c>
      <c r="R97" s="195">
        <f t="shared" si="21"/>
        <v>1.0554804105578334E-7</v>
      </c>
      <c r="S97" s="195">
        <f t="shared" si="22"/>
        <v>6.9661707096817011E-7</v>
      </c>
      <c r="T97" s="195">
        <f t="shared" si="23"/>
        <v>1.9631935636375699E-6</v>
      </c>
      <c r="U97" s="195">
        <f t="shared" si="24"/>
        <v>2.4487145524941734E-4</v>
      </c>
      <c r="V97" s="195">
        <f t="shared" si="25"/>
        <v>1.4405196643293311E-7</v>
      </c>
      <c r="X97" s="151">
        <v>675</v>
      </c>
      <c r="Y97" s="195">
        <f t="shared" si="26"/>
        <v>0</v>
      </c>
      <c r="Z97" s="195">
        <f t="shared" si="27"/>
        <v>6.9266322964157121E-7</v>
      </c>
      <c r="AA97" s="195">
        <f t="shared" si="28"/>
        <v>4.3644505595524216E-6</v>
      </c>
      <c r="AB97" s="195">
        <f t="shared" si="29"/>
        <v>1.2053402001752736E-5</v>
      </c>
      <c r="AC97" s="195">
        <f t="shared" si="30"/>
        <v>1.6724758294499732E-3</v>
      </c>
      <c r="AD97" s="195">
        <f t="shared" si="31"/>
        <v>1.0858116265894899E-6</v>
      </c>
      <c r="AF97" s="151">
        <v>675</v>
      </c>
      <c r="AG97" s="167">
        <f>Toolbox!$AA87*Calculations!I97</f>
        <v>0</v>
      </c>
      <c r="AH97" s="167">
        <f>Toolbox!$AA87*Calculations!J97</f>
        <v>18898386.37587928</v>
      </c>
      <c r="AI97" s="167">
        <f>Toolbox!$AA87*Calculations!K97</f>
        <v>124729350.08080325</v>
      </c>
      <c r="AJ97" s="167">
        <f>Toolbox!$AA87*Calculations!L97</f>
        <v>351509986.59135455</v>
      </c>
    </row>
    <row r="98" spans="2:36">
      <c r="B98" s="151">
        <v>680</v>
      </c>
      <c r="C98" s="164">
        <f>SPD!N98</f>
        <v>1.0292278316935704E-2</v>
      </c>
      <c r="E98" s="151">
        <v>680</v>
      </c>
      <c r="F98" s="157">
        <v>0.996</v>
      </c>
      <c r="H98" s="151">
        <v>680</v>
      </c>
      <c r="I98" s="172">
        <v>0</v>
      </c>
      <c r="J98" s="172">
        <v>6.9999999999999999E-6</v>
      </c>
      <c r="K98" s="172">
        <v>4.6E-5</v>
      </c>
      <c r="L98" s="172">
        <v>1.2799999999999999E-4</v>
      </c>
      <c r="M98" s="172">
        <v>1.7000000000000001E-2</v>
      </c>
      <c r="N98" s="172">
        <v>9.5763699999999999E-6</v>
      </c>
      <c r="O98" s="172"/>
      <c r="P98" s="151">
        <v>680</v>
      </c>
      <c r="Q98" s="195">
        <f t="shared" si="20"/>
        <v>0</v>
      </c>
      <c r="R98" s="195">
        <f t="shared" si="21"/>
        <v>7.2045948218549924E-8</v>
      </c>
      <c r="S98" s="195">
        <f t="shared" si="22"/>
        <v>4.7344480257904235E-7</v>
      </c>
      <c r="T98" s="195">
        <f t="shared" si="23"/>
        <v>1.3174116245677699E-6</v>
      </c>
      <c r="U98" s="195">
        <f t="shared" si="24"/>
        <v>1.7496873138790698E-4</v>
      </c>
      <c r="V98" s="195">
        <f t="shared" si="25"/>
        <v>9.8562665305953564E-8</v>
      </c>
      <c r="X98" s="151">
        <v>680</v>
      </c>
      <c r="Y98" s="195">
        <f t="shared" si="26"/>
        <v>0</v>
      </c>
      <c r="Z98" s="195">
        <f t="shared" si="27"/>
        <v>4.7280440902996565E-7</v>
      </c>
      <c r="AA98" s="195">
        <f t="shared" si="28"/>
        <v>2.9662299700199308E-6</v>
      </c>
      <c r="AB98" s="195">
        <f t="shared" si="29"/>
        <v>8.0885003938557114E-6</v>
      </c>
      <c r="AC98" s="195">
        <f t="shared" si="30"/>
        <v>1.1950391435283291E-3</v>
      </c>
      <c r="AD98" s="195">
        <f t="shared" si="31"/>
        <v>7.4292972589637574E-7</v>
      </c>
      <c r="AF98" s="151">
        <v>680</v>
      </c>
      <c r="AG98" s="167">
        <f>Toolbox!$AA88*Calculations!I98</f>
        <v>0</v>
      </c>
      <c r="AH98" s="167">
        <f>Toolbox!$AA88*Calculations!J98</f>
        <v>12995387.921294333</v>
      </c>
      <c r="AI98" s="167">
        <f>Toolbox!$AA88*Calculations!K98</f>
        <v>85398263.482791334</v>
      </c>
      <c r="AJ98" s="167">
        <f>Toolbox!$AA88*Calculations!L98</f>
        <v>237629950.56081066</v>
      </c>
    </row>
    <row r="99" spans="2:36">
      <c r="B99" s="151">
        <v>685</v>
      </c>
      <c r="C99" s="164">
        <f>SPD!N99</f>
        <v>9.7293755905367603E-3</v>
      </c>
      <c r="E99" s="151">
        <v>685</v>
      </c>
      <c r="F99" s="157">
        <v>0.99701717448192895</v>
      </c>
      <c r="H99" s="151">
        <v>685</v>
      </c>
      <c r="I99" s="172">
        <v>0</v>
      </c>
      <c r="J99" s="172">
        <v>5.0000000000000004E-6</v>
      </c>
      <c r="K99" s="172">
        <v>3.1999999999999999E-5</v>
      </c>
      <c r="L99" s="172">
        <v>8.7999999999999998E-5</v>
      </c>
      <c r="M99" s="172">
        <v>1.192E-2</v>
      </c>
      <c r="N99" s="172">
        <v>6.7542500000000006E-6</v>
      </c>
      <c r="O99" s="172"/>
      <c r="P99" s="151">
        <v>685</v>
      </c>
      <c r="Q99" s="195">
        <f t="shared" si="20"/>
        <v>0</v>
      </c>
      <c r="R99" s="195">
        <f t="shared" si="21"/>
        <v>4.8646877952683806E-8</v>
      </c>
      <c r="S99" s="195">
        <f t="shared" si="22"/>
        <v>3.1134001889717634E-7</v>
      </c>
      <c r="T99" s="195">
        <f t="shared" si="23"/>
        <v>8.561850519672349E-7</v>
      </c>
      <c r="U99" s="195">
        <f t="shared" si="24"/>
        <v>1.1597415703919819E-4</v>
      </c>
      <c r="V99" s="195">
        <f t="shared" si="25"/>
        <v>6.5714635082382917E-8</v>
      </c>
      <c r="X99" s="151">
        <v>685</v>
      </c>
      <c r="Y99" s="195">
        <f t="shared" si="26"/>
        <v>0</v>
      </c>
      <c r="Z99" s="195">
        <f t="shared" si="27"/>
        <v>3.1924707704311291E-7</v>
      </c>
      <c r="AA99" s="195">
        <f t="shared" si="28"/>
        <v>1.9506098491073733E-6</v>
      </c>
      <c r="AB99" s="195">
        <f t="shared" si="29"/>
        <v>5.2567117223688235E-6</v>
      </c>
      <c r="AC99" s="195">
        <f t="shared" si="30"/>
        <v>7.9210528761439192E-4</v>
      </c>
      <c r="AD99" s="195">
        <f t="shared" si="31"/>
        <v>4.9533315355856257E-7</v>
      </c>
      <c r="AF99" s="151">
        <v>685</v>
      </c>
      <c r="AG99" s="167">
        <f>Toolbox!$AA89*Calculations!I99</f>
        <v>0</v>
      </c>
      <c r="AH99" s="167">
        <f>Toolbox!$AA89*Calculations!J99</f>
        <v>8839268.3473274447</v>
      </c>
      <c r="AI99" s="167">
        <f>Toolbox!$AA89*Calculations!K99</f>
        <v>56571317.42289564</v>
      </c>
      <c r="AJ99" s="167">
        <f>Toolbox!$AA89*Calculations!L99</f>
        <v>155571122.912963</v>
      </c>
    </row>
    <row r="100" spans="2:36">
      <c r="B100" s="151">
        <v>690</v>
      </c>
      <c r="C100" s="164">
        <f>SPD!N100</f>
        <v>9.1664860114629675E-3</v>
      </c>
      <c r="E100" s="151">
        <v>690</v>
      </c>
      <c r="F100" s="157">
        <v>0.998</v>
      </c>
      <c r="H100" s="151">
        <v>690</v>
      </c>
      <c r="I100" s="172">
        <v>0</v>
      </c>
      <c r="J100" s="172">
        <v>3.0000000000000001E-6</v>
      </c>
      <c r="K100" s="172">
        <v>2.1999999999999999E-5</v>
      </c>
      <c r="L100" s="172">
        <v>6.0999999999999999E-5</v>
      </c>
      <c r="M100" s="172">
        <v>8.2100000000000003E-3</v>
      </c>
      <c r="N100" s="172">
        <v>4.78804E-6</v>
      </c>
      <c r="O100" s="172"/>
      <c r="P100" s="151">
        <v>690</v>
      </c>
      <c r="Q100" s="195">
        <f t="shared" si="20"/>
        <v>0</v>
      </c>
      <c r="R100" s="195">
        <f t="shared" si="21"/>
        <v>2.7499458034388903E-8</v>
      </c>
      <c r="S100" s="195">
        <f t="shared" si="22"/>
        <v>2.0166269225218528E-7</v>
      </c>
      <c r="T100" s="195">
        <f t="shared" si="23"/>
        <v>5.5915564669924097E-7</v>
      </c>
      <c r="U100" s="195">
        <f t="shared" si="24"/>
        <v>7.5256850154110968E-5</v>
      </c>
      <c r="V100" s="195">
        <f t="shared" si="25"/>
        <v>4.3889501682325148E-8</v>
      </c>
      <c r="X100" s="151">
        <v>690</v>
      </c>
      <c r="Y100" s="195">
        <f t="shared" si="26"/>
        <v>0</v>
      </c>
      <c r="Z100" s="195">
        <f t="shared" si="27"/>
        <v>1.8046629027843025E-7</v>
      </c>
      <c r="AA100" s="195">
        <f t="shared" si="28"/>
        <v>1.2634586298863664E-6</v>
      </c>
      <c r="AB100" s="195">
        <f t="shared" si="29"/>
        <v>3.4330429337431416E-6</v>
      </c>
      <c r="AC100" s="195">
        <f t="shared" si="30"/>
        <v>5.1400545137074958E-4</v>
      </c>
      <c r="AD100" s="195">
        <f t="shared" si="31"/>
        <v>3.3082319104664846E-7</v>
      </c>
      <c r="AF100" s="151">
        <v>690</v>
      </c>
      <c r="AG100" s="167">
        <f>Toolbox!$AA90*Calculations!I100</f>
        <v>0</v>
      </c>
      <c r="AH100" s="167">
        <f>Toolbox!$AA90*Calculations!J100</f>
        <v>5033197.8124600016</v>
      </c>
      <c r="AI100" s="167">
        <f>Toolbox!$AA90*Calculations!K100</f>
        <v>36910117.291373342</v>
      </c>
      <c r="AJ100" s="167">
        <f>Toolbox!$AA90*Calculations!L100</f>
        <v>102341688.85335335</v>
      </c>
    </row>
    <row r="101" spans="2:36">
      <c r="B101" s="151">
        <v>695</v>
      </c>
      <c r="C101" s="164">
        <f>SPD!N101</f>
        <v>9.2905836135762383E-3</v>
      </c>
      <c r="E101" s="151">
        <v>695</v>
      </c>
      <c r="F101" s="157">
        <v>0.99898282551807105</v>
      </c>
      <c r="H101" s="151">
        <v>695</v>
      </c>
      <c r="I101" s="172">
        <v>0</v>
      </c>
      <c r="J101" s="172">
        <v>1.9999999999999999E-6</v>
      </c>
      <c r="K101" s="172">
        <v>1.5999999999999999E-5</v>
      </c>
      <c r="L101" s="172">
        <v>4.3000000000000002E-5</v>
      </c>
      <c r="M101" s="172">
        <v>5.7229999999999998E-3</v>
      </c>
      <c r="N101" s="172">
        <v>3.4084100000000001E-6</v>
      </c>
      <c r="O101" s="172"/>
      <c r="P101" s="151">
        <v>695</v>
      </c>
      <c r="Q101" s="195">
        <f t="shared" si="20"/>
        <v>0</v>
      </c>
      <c r="R101" s="195">
        <f t="shared" si="21"/>
        <v>1.8581167227152475E-8</v>
      </c>
      <c r="S101" s="195">
        <f t="shared" si="22"/>
        <v>1.486493378172198E-7</v>
      </c>
      <c r="T101" s="195">
        <f t="shared" si="23"/>
        <v>3.9949509538377829E-7</v>
      </c>
      <c r="U101" s="195">
        <f t="shared" si="24"/>
        <v>5.317001002049681E-5</v>
      </c>
      <c r="V101" s="195">
        <f t="shared" si="25"/>
        <v>3.166611809434939E-8</v>
      </c>
      <c r="X101" s="151">
        <v>695</v>
      </c>
      <c r="Y101" s="195">
        <f t="shared" si="26"/>
        <v>0</v>
      </c>
      <c r="Z101" s="195">
        <f t="shared" si="27"/>
        <v>1.2193965111363222E-7</v>
      </c>
      <c r="AA101" s="195">
        <f t="shared" si="28"/>
        <v>9.3131895937001188E-7</v>
      </c>
      <c r="AB101" s="195">
        <f t="shared" si="29"/>
        <v>2.4527764717540575E-6</v>
      </c>
      <c r="AC101" s="195">
        <f t="shared" si="30"/>
        <v>3.631519914002119E-4</v>
      </c>
      <c r="AD101" s="195">
        <f t="shared" si="31"/>
        <v>2.3868774614616893E-7</v>
      </c>
      <c r="AF101" s="151">
        <v>695</v>
      </c>
      <c r="AG101" s="167">
        <f>Toolbox!$AA91*Calculations!I101</f>
        <v>0</v>
      </c>
      <c r="AH101" s="167">
        <f>Toolbox!$AA91*Calculations!J101</f>
        <v>3425536.2697248319</v>
      </c>
      <c r="AI101" s="167">
        <f>Toolbox!$AA91*Calculations!K101</f>
        <v>27404290.157798655</v>
      </c>
      <c r="AJ101" s="167">
        <f>Toolbox!$AA91*Calculations!L101</f>
        <v>73649029.799083889</v>
      </c>
    </row>
    <row r="102" spans="2:36">
      <c r="B102" s="151">
        <v>700</v>
      </c>
      <c r="C102" s="164">
        <f>SPD!N102</f>
        <v>9.4146812156895073E-3</v>
      </c>
      <c r="E102" s="151">
        <v>700</v>
      </c>
      <c r="F102" s="157">
        <v>1</v>
      </c>
      <c r="H102" s="151">
        <v>700</v>
      </c>
      <c r="I102" s="172">
        <v>0</v>
      </c>
      <c r="J102" s="172">
        <v>1.9999999999999999E-6</v>
      </c>
      <c r="K102" s="172">
        <v>1.1E-5</v>
      </c>
      <c r="L102" s="172">
        <v>3.0000000000000001E-5</v>
      </c>
      <c r="M102" s="172">
        <v>4.1019999999999997E-3</v>
      </c>
      <c r="N102" s="172">
        <v>2.4381899999999999E-6</v>
      </c>
      <c r="O102" s="172"/>
      <c r="P102" s="151">
        <v>700</v>
      </c>
      <c r="Q102" s="195">
        <f t="shared" si="20"/>
        <v>0</v>
      </c>
      <c r="R102" s="195">
        <f t="shared" si="21"/>
        <v>1.8829362431379013E-8</v>
      </c>
      <c r="S102" s="195">
        <f t="shared" si="22"/>
        <v>1.0356149337258458E-7</v>
      </c>
      <c r="T102" s="195">
        <f t="shared" si="23"/>
        <v>2.8244043647068522E-7</v>
      </c>
      <c r="U102" s="195">
        <f t="shared" si="24"/>
        <v>3.8619022346758359E-5</v>
      </c>
      <c r="V102" s="195">
        <f t="shared" si="25"/>
        <v>2.2954781593281999E-8</v>
      </c>
      <c r="X102" s="151">
        <v>700</v>
      </c>
      <c r="Y102" s="195">
        <f t="shared" si="26"/>
        <v>0</v>
      </c>
      <c r="Z102" s="195">
        <f t="shared" si="27"/>
        <v>1.2356844204164427E-7</v>
      </c>
      <c r="AA102" s="195">
        <f t="shared" si="28"/>
        <v>6.4883425419058315E-7</v>
      </c>
      <c r="AB102" s="195">
        <f t="shared" si="29"/>
        <v>1.7340970271030098E-6</v>
      </c>
      <c r="AC102" s="195">
        <f t="shared" si="30"/>
        <v>2.6376852036981316E-4</v>
      </c>
      <c r="AD102" s="195">
        <f t="shared" si="31"/>
        <v>1.73024842055261E-7</v>
      </c>
      <c r="AF102" s="151">
        <v>700</v>
      </c>
      <c r="AG102" s="167">
        <f>Toolbox!$AA92*Calculations!I102</f>
        <v>0</v>
      </c>
      <c r="AH102" s="167">
        <f>Toolbox!$AA92*Calculations!J102</f>
        <v>3496265.6922385436</v>
      </c>
      <c r="AI102" s="167">
        <f>Toolbox!$AA92*Calculations!K102</f>
        <v>19229461.307311989</v>
      </c>
      <c r="AJ102" s="167">
        <f>Toolbox!$AA92*Calculations!L102</f>
        <v>52443985.383578159</v>
      </c>
    </row>
    <row r="103" spans="2:36">
      <c r="B103" s="151">
        <v>705</v>
      </c>
      <c r="C103" s="164">
        <f>SPD!N103</f>
        <v>9.594786422951895E-3</v>
      </c>
      <c r="E103" s="151">
        <v>705</v>
      </c>
      <c r="F103" s="157">
        <v>1</v>
      </c>
      <c r="H103" s="151">
        <v>705</v>
      </c>
      <c r="I103" s="172">
        <v>0</v>
      </c>
      <c r="J103" s="172">
        <v>9.9999999999999995E-7</v>
      </c>
      <c r="K103" s="172">
        <v>7.9999999999999996E-6</v>
      </c>
      <c r="L103" s="172">
        <v>2.0999999999999999E-5</v>
      </c>
      <c r="M103" s="172">
        <v>2.9290000000000002E-3</v>
      </c>
      <c r="N103" s="172">
        <v>1.7525200000000001E-6</v>
      </c>
      <c r="O103" s="172"/>
      <c r="P103" s="151">
        <v>705</v>
      </c>
      <c r="Q103" s="195">
        <f t="shared" si="20"/>
        <v>0</v>
      </c>
      <c r="R103" s="195">
        <f t="shared" si="21"/>
        <v>9.5947864229518952E-9</v>
      </c>
      <c r="S103" s="195">
        <f t="shared" si="22"/>
        <v>7.6758291383615162E-8</v>
      </c>
      <c r="T103" s="195">
        <f t="shared" si="23"/>
        <v>2.0149051488198978E-7</v>
      </c>
      <c r="U103" s="195">
        <f t="shared" si="24"/>
        <v>2.8103129432826102E-5</v>
      </c>
      <c r="V103" s="195">
        <f t="shared" si="25"/>
        <v>1.6815055101951655E-8</v>
      </c>
      <c r="X103" s="151">
        <v>705</v>
      </c>
      <c r="Y103" s="195">
        <f t="shared" si="26"/>
        <v>0</v>
      </c>
      <c r="Z103" s="195">
        <f t="shared" si="27"/>
        <v>6.2966168627710438E-8</v>
      </c>
      <c r="AA103" s="195">
        <f t="shared" si="28"/>
        <v>4.809066296838055E-7</v>
      </c>
      <c r="AB103" s="195">
        <f t="shared" si="29"/>
        <v>1.2370895159786309E-6</v>
      </c>
      <c r="AC103" s="195">
        <f t="shared" si="30"/>
        <v>1.9194480900369307E-4</v>
      </c>
      <c r="AD103" s="195">
        <f t="shared" si="31"/>
        <v>1.2674580419519974E-7</v>
      </c>
      <c r="AF103" s="151">
        <v>705</v>
      </c>
      <c r="AG103" s="167">
        <f>Toolbox!$AA93*Calculations!I103</f>
        <v>0</v>
      </c>
      <c r="AH103" s="167">
        <f>Toolbox!$AA93*Calculations!J103</f>
        <v>1794300.6010357724</v>
      </c>
      <c r="AI103" s="167">
        <f>Toolbox!$AA93*Calculations!K103</f>
        <v>14354404.808286179</v>
      </c>
      <c r="AJ103" s="167">
        <f>Toolbox!$AA93*Calculations!L103</f>
        <v>37680312.621751219</v>
      </c>
    </row>
    <row r="104" spans="2:36">
      <c r="B104" s="151">
        <v>710</v>
      </c>
      <c r="C104" s="164">
        <f>SPD!N104</f>
        <v>9.7749047775394365E-3</v>
      </c>
      <c r="E104" s="151">
        <v>710</v>
      </c>
      <c r="F104" s="157">
        <v>1</v>
      </c>
      <c r="H104" s="151">
        <v>710</v>
      </c>
      <c r="I104" s="172">
        <v>0</v>
      </c>
      <c r="J104" s="172">
        <v>9.9999999999999995E-7</v>
      </c>
      <c r="K104" s="172">
        <v>6.0000000000000002E-6</v>
      </c>
      <c r="L104" s="172">
        <v>1.5E-5</v>
      </c>
      <c r="M104" s="172">
        <v>2.091E-3</v>
      </c>
      <c r="N104" s="172">
        <v>1.2656E-6</v>
      </c>
      <c r="O104" s="172"/>
      <c r="P104" s="151">
        <v>710</v>
      </c>
      <c r="Q104" s="195">
        <f t="shared" si="20"/>
        <v>0</v>
      </c>
      <c r="R104" s="195">
        <f t="shared" si="21"/>
        <v>9.7749047775394367E-9</v>
      </c>
      <c r="S104" s="195">
        <f t="shared" si="22"/>
        <v>5.8649428665236624E-8</v>
      </c>
      <c r="T104" s="195">
        <f t="shared" si="23"/>
        <v>1.4662357166309155E-7</v>
      </c>
      <c r="U104" s="195">
        <f t="shared" si="24"/>
        <v>2.0439325889834963E-5</v>
      </c>
      <c r="V104" s="195">
        <f t="shared" si="25"/>
        <v>1.237111948645391E-8</v>
      </c>
      <c r="X104" s="151">
        <v>710</v>
      </c>
      <c r="Y104" s="195">
        <f t="shared" si="26"/>
        <v>0</v>
      </c>
      <c r="Z104" s="195">
        <f t="shared" si="27"/>
        <v>6.4148202514444486E-8</v>
      </c>
      <c r="AA104" s="195">
        <f t="shared" si="28"/>
        <v>3.6745084555517262E-7</v>
      </c>
      <c r="AB104" s="195">
        <f t="shared" si="29"/>
        <v>9.0022343436854876E-7</v>
      </c>
      <c r="AC104" s="195">
        <f t="shared" si="30"/>
        <v>1.3960091218546134E-4</v>
      </c>
      <c r="AD104" s="195">
        <f t="shared" si="31"/>
        <v>9.3249024674532144E-8</v>
      </c>
      <c r="AF104" s="151">
        <v>710</v>
      </c>
      <c r="AG104" s="167">
        <f>Toolbox!$AA94*Calculations!I104</f>
        <v>0</v>
      </c>
      <c r="AH104" s="167">
        <f>Toolbox!$AA94*Calculations!J104</f>
        <v>1840948.5780248293</v>
      </c>
      <c r="AI104" s="167">
        <f>Toolbox!$AA94*Calculations!K104</f>
        <v>11045691.468148977</v>
      </c>
      <c r="AJ104" s="167">
        <f>Toolbox!$AA94*Calculations!L104</f>
        <v>27614228.670372441</v>
      </c>
    </row>
    <row r="105" spans="2:36">
      <c r="B105" s="151">
        <v>715</v>
      </c>
      <c r="C105" s="164">
        <f>SPD!N105</f>
        <v>8.9370914822043263E-3</v>
      </c>
      <c r="E105" s="151">
        <v>715</v>
      </c>
      <c r="F105" s="157">
        <v>1</v>
      </c>
      <c r="H105" s="151">
        <v>715</v>
      </c>
      <c r="I105" s="172">
        <v>0</v>
      </c>
      <c r="J105" s="172">
        <v>9.9999999999999995E-7</v>
      </c>
      <c r="K105" s="172">
        <v>3.9999999999999998E-6</v>
      </c>
      <c r="L105" s="172">
        <v>1.1E-5</v>
      </c>
      <c r="M105" s="172">
        <v>1.4840000000000001E-3</v>
      </c>
      <c r="N105" s="172">
        <v>9.1807799999999997E-7</v>
      </c>
      <c r="O105" s="172"/>
      <c r="P105" s="151">
        <v>715</v>
      </c>
      <c r="Q105" s="195">
        <f t="shared" si="20"/>
        <v>0</v>
      </c>
      <c r="R105" s="195">
        <f t="shared" si="21"/>
        <v>8.9370914822043261E-9</v>
      </c>
      <c r="S105" s="195">
        <f t="shared" si="22"/>
        <v>3.5748365928817304E-8</v>
      </c>
      <c r="T105" s="195">
        <f t="shared" si="23"/>
        <v>9.8308006304247582E-8</v>
      </c>
      <c r="U105" s="195">
        <f t="shared" si="24"/>
        <v>1.326264375959122E-5</v>
      </c>
      <c r="V105" s="195">
        <f t="shared" si="25"/>
        <v>8.2049470737991825E-9</v>
      </c>
      <c r="X105" s="151">
        <v>715</v>
      </c>
      <c r="Y105" s="195">
        <f t="shared" si="26"/>
        <v>0</v>
      </c>
      <c r="Z105" s="195">
        <f t="shared" si="27"/>
        <v>5.8650019344216258E-8</v>
      </c>
      <c r="AA105" s="195">
        <f t="shared" si="28"/>
        <v>2.2397093350622234E-7</v>
      </c>
      <c r="AB105" s="195">
        <f t="shared" si="29"/>
        <v>6.0358078893676233E-7</v>
      </c>
      <c r="AC105" s="195">
        <f t="shared" si="30"/>
        <v>9.0584062155911967E-5</v>
      </c>
      <c r="AD105" s="195">
        <f t="shared" si="31"/>
        <v>6.1845923723855439E-8</v>
      </c>
      <c r="AF105" s="151">
        <v>715</v>
      </c>
      <c r="AG105" s="167">
        <f>Toolbox!$AA95*Calculations!I105</f>
        <v>0</v>
      </c>
      <c r="AH105" s="167">
        <f>Toolbox!$AA95*Calculations!J105</f>
        <v>1695012.9438092581</v>
      </c>
      <c r="AI105" s="167">
        <f>Toolbox!$AA95*Calculations!K105</f>
        <v>6780051.7752370322</v>
      </c>
      <c r="AJ105" s="167">
        <f>Toolbox!$AA95*Calculations!L105</f>
        <v>18645142.381901838</v>
      </c>
    </row>
    <row r="106" spans="2:36">
      <c r="B106" s="151">
        <v>720</v>
      </c>
      <c r="C106" s="164">
        <f>SPD!N106</f>
        <v>8.099278186869216E-3</v>
      </c>
      <c r="E106" s="151">
        <v>720</v>
      </c>
      <c r="F106" s="157">
        <v>1</v>
      </c>
      <c r="H106" s="151">
        <v>720</v>
      </c>
      <c r="I106" s="172">
        <v>0</v>
      </c>
      <c r="J106" s="172">
        <v>0</v>
      </c>
      <c r="K106" s="172">
        <v>3.0000000000000001E-6</v>
      </c>
      <c r="L106" s="172">
        <v>7.9999999999999996E-6</v>
      </c>
      <c r="M106" s="172">
        <v>1.047E-3</v>
      </c>
      <c r="N106" s="172">
        <v>6.6899100000000004E-7</v>
      </c>
      <c r="O106" s="172"/>
      <c r="P106" s="151">
        <v>720</v>
      </c>
      <c r="Q106" s="195">
        <f t="shared" si="20"/>
        <v>0</v>
      </c>
      <c r="R106" s="195">
        <f t="shared" si="21"/>
        <v>0</v>
      </c>
      <c r="S106" s="195">
        <f t="shared" si="22"/>
        <v>2.4297834560607648E-8</v>
      </c>
      <c r="T106" s="195">
        <f t="shared" si="23"/>
        <v>6.4794225494953724E-8</v>
      </c>
      <c r="U106" s="195">
        <f t="shared" si="24"/>
        <v>8.4799442616520691E-6</v>
      </c>
      <c r="V106" s="195">
        <f t="shared" si="25"/>
        <v>5.4183442135118239E-9</v>
      </c>
      <c r="X106" s="151">
        <v>720</v>
      </c>
      <c r="Y106" s="195">
        <f t="shared" si="26"/>
        <v>0</v>
      </c>
      <c r="Z106" s="195">
        <f t="shared" si="27"/>
        <v>0</v>
      </c>
      <c r="AA106" s="195">
        <f t="shared" si="28"/>
        <v>1.5223097748174724E-7</v>
      </c>
      <c r="AB106" s="195">
        <f t="shared" si="29"/>
        <v>3.9781652800236767E-7</v>
      </c>
      <c r="AC106" s="195">
        <f t="shared" si="30"/>
        <v>5.7918150558832156E-5</v>
      </c>
      <c r="AD106" s="195">
        <f t="shared" si="31"/>
        <v>4.0841519137707419E-8</v>
      </c>
      <c r="AF106" s="151">
        <v>720</v>
      </c>
      <c r="AG106" s="167">
        <f>Toolbox!$AA96*Calculations!I106</f>
        <v>0</v>
      </c>
      <c r="AH106" s="167">
        <f>Toolbox!$AA96*Calculations!J106</f>
        <v>0</v>
      </c>
      <c r="AI106" s="167">
        <f>Toolbox!$AA96*Calculations!K106</f>
        <v>4640564.7933619823</v>
      </c>
      <c r="AJ106" s="167">
        <f>Toolbox!$AA96*Calculations!L106</f>
        <v>12374839.448965287</v>
      </c>
    </row>
    <row r="107" spans="2:36">
      <c r="B107" s="151">
        <v>725</v>
      </c>
      <c r="C107" s="164">
        <f>SPD!N107</f>
        <v>8.6436826267787675E-3</v>
      </c>
      <c r="E107" s="151">
        <v>725</v>
      </c>
      <c r="F107" s="157">
        <v>1</v>
      </c>
      <c r="H107" s="151">
        <v>725</v>
      </c>
      <c r="I107" s="172">
        <v>0</v>
      </c>
      <c r="J107" s="172">
        <v>0</v>
      </c>
      <c r="K107" s="172">
        <v>1.9999999999999999E-6</v>
      </c>
      <c r="L107" s="172">
        <v>5.0000000000000004E-6</v>
      </c>
      <c r="M107" s="172">
        <v>7.3999999999999999E-4</v>
      </c>
      <c r="N107" s="172">
        <v>4.8953100000000004E-7</v>
      </c>
      <c r="O107" s="172"/>
      <c r="P107" s="151">
        <v>725</v>
      </c>
      <c r="Q107" s="195">
        <f t="shared" si="20"/>
        <v>0</v>
      </c>
      <c r="R107" s="195">
        <f t="shared" si="21"/>
        <v>0</v>
      </c>
      <c r="S107" s="195">
        <f t="shared" si="22"/>
        <v>1.7287365253557534E-8</v>
      </c>
      <c r="T107" s="195">
        <f t="shared" si="23"/>
        <v>4.3218413133893839E-8</v>
      </c>
      <c r="U107" s="195">
        <f t="shared" si="24"/>
        <v>6.3963251438162877E-6</v>
      </c>
      <c r="V107" s="195">
        <f t="shared" si="25"/>
        <v>4.2313505999696376E-9</v>
      </c>
      <c r="X107" s="151">
        <v>725</v>
      </c>
      <c r="Y107" s="195">
        <f t="shared" si="26"/>
        <v>0</v>
      </c>
      <c r="Z107" s="195">
        <f t="shared" si="27"/>
        <v>0</v>
      </c>
      <c r="AA107" s="195">
        <f t="shared" si="28"/>
        <v>1.0830893197781501E-7</v>
      </c>
      <c r="AB107" s="195">
        <f t="shared" si="29"/>
        <v>2.6534770540681268E-7</v>
      </c>
      <c r="AC107" s="195">
        <f t="shared" si="30"/>
        <v>4.3686999733960697E-5</v>
      </c>
      <c r="AD107" s="195">
        <f t="shared" si="31"/>
        <v>3.1894390554970342E-8</v>
      </c>
      <c r="AF107" s="151">
        <v>725</v>
      </c>
      <c r="AG107" s="167">
        <f>Toolbox!$AA97*Calculations!I107</f>
        <v>0</v>
      </c>
      <c r="AH107" s="167">
        <f>Toolbox!$AA97*Calculations!J107</f>
        <v>0</v>
      </c>
      <c r="AI107" s="167">
        <f>Toolbox!$AA97*Calculations!K107</f>
        <v>3324586.1269275295</v>
      </c>
      <c r="AJ107" s="167">
        <f>Toolbox!$AA97*Calculations!L107</f>
        <v>8311465.3173188251</v>
      </c>
    </row>
    <row r="108" spans="2:36">
      <c r="B108" s="151">
        <v>730</v>
      </c>
      <c r="C108" s="164">
        <f>SPD!N108</f>
        <v>9.1880870666883208E-3</v>
      </c>
      <c r="E108" s="151">
        <v>730</v>
      </c>
      <c r="F108" s="157">
        <v>1</v>
      </c>
      <c r="H108" s="151">
        <v>730</v>
      </c>
      <c r="I108" s="172">
        <v>0</v>
      </c>
      <c r="J108" s="172">
        <v>0</v>
      </c>
      <c r="K108" s="172">
        <v>1.9999999999999999E-6</v>
      </c>
      <c r="L108" s="172">
        <v>3.9999999999999998E-6</v>
      </c>
      <c r="M108" s="172">
        <v>5.1999999999999995E-4</v>
      </c>
      <c r="N108" s="172">
        <v>3.5976599999999999E-7</v>
      </c>
      <c r="O108" s="172"/>
      <c r="P108" s="151">
        <v>730</v>
      </c>
      <c r="Q108" s="195">
        <f t="shared" si="20"/>
        <v>0</v>
      </c>
      <c r="R108" s="195">
        <f t="shared" si="21"/>
        <v>0</v>
      </c>
      <c r="S108" s="195">
        <f t="shared" si="22"/>
        <v>1.8376174133376641E-8</v>
      </c>
      <c r="T108" s="195">
        <f t="shared" si="23"/>
        <v>3.6752348266753282E-8</v>
      </c>
      <c r="U108" s="195">
        <f t="shared" si="24"/>
        <v>4.7778052746779267E-6</v>
      </c>
      <c r="V108" s="195">
        <f t="shared" si="25"/>
        <v>3.3055613316341903E-9</v>
      </c>
      <c r="X108" s="151">
        <v>730</v>
      </c>
      <c r="Y108" s="195">
        <f t="shared" si="26"/>
        <v>0</v>
      </c>
      <c r="Z108" s="195">
        <f t="shared" si="27"/>
        <v>0</v>
      </c>
      <c r="AA108" s="195">
        <f t="shared" si="28"/>
        <v>1.1513054563446524E-7</v>
      </c>
      <c r="AB108" s="195">
        <f t="shared" si="29"/>
        <v>2.2564806464971649E-7</v>
      </c>
      <c r="AC108" s="195">
        <f t="shared" si="30"/>
        <v>3.2632483976453337E-5</v>
      </c>
      <c r="AD108" s="195">
        <f t="shared" si="31"/>
        <v>2.4916125861871436E-8</v>
      </c>
      <c r="AF108" s="151">
        <v>730</v>
      </c>
      <c r="AG108" s="167">
        <f>Toolbox!$AA98*Calculations!I108</f>
        <v>0</v>
      </c>
      <c r="AH108" s="167">
        <f>Toolbox!$AA98*Calculations!J108</f>
        <v>0</v>
      </c>
      <c r="AI108" s="167">
        <f>Toolbox!$AA98*Calculations!K108</f>
        <v>3558350.5594540234</v>
      </c>
      <c r="AJ108" s="167">
        <f>Toolbox!$AA98*Calculations!L108</f>
        <v>7116701.1189080467</v>
      </c>
    </row>
    <row r="109" spans="2:36">
      <c r="B109" s="151">
        <v>735</v>
      </c>
      <c r="C109" s="164">
        <f>SPD!N109</f>
        <v>9.5300095519261427E-3</v>
      </c>
      <c r="E109" s="151">
        <v>735</v>
      </c>
      <c r="F109" s="157">
        <v>1</v>
      </c>
      <c r="H109" s="151">
        <v>735</v>
      </c>
      <c r="I109" s="172">
        <v>0</v>
      </c>
      <c r="J109" s="172">
        <v>0</v>
      </c>
      <c r="K109" s="172">
        <v>9.9999999999999995E-7</v>
      </c>
      <c r="L109" s="172">
        <v>3.0000000000000001E-6</v>
      </c>
      <c r="M109" s="172">
        <v>3.611E-4</v>
      </c>
      <c r="N109" s="172">
        <v>2.6549300000000001E-7</v>
      </c>
      <c r="O109" s="172"/>
      <c r="P109" s="151">
        <v>735</v>
      </c>
      <c r="Q109" s="195">
        <f t="shared" si="20"/>
        <v>0</v>
      </c>
      <c r="R109" s="195">
        <f t="shared" si="21"/>
        <v>0</v>
      </c>
      <c r="S109" s="195">
        <f t="shared" si="22"/>
        <v>9.5300095519261419E-9</v>
      </c>
      <c r="T109" s="195">
        <f t="shared" si="23"/>
        <v>2.8590028655778429E-8</v>
      </c>
      <c r="U109" s="195">
        <f t="shared" si="24"/>
        <v>3.4412864492005302E-6</v>
      </c>
      <c r="V109" s="195">
        <f t="shared" si="25"/>
        <v>2.5301508259695275E-9</v>
      </c>
      <c r="X109" s="151">
        <v>735</v>
      </c>
      <c r="Y109" s="195">
        <f t="shared" si="26"/>
        <v>0</v>
      </c>
      <c r="Z109" s="195">
        <f t="shared" si="27"/>
        <v>0</v>
      </c>
      <c r="AA109" s="195">
        <f t="shared" si="28"/>
        <v>5.9707488166543158E-8</v>
      </c>
      <c r="AB109" s="195">
        <f t="shared" si="29"/>
        <v>1.7553394378046491E-7</v>
      </c>
      <c r="AC109" s="195">
        <f t="shared" si="30"/>
        <v>2.350403971193496E-5</v>
      </c>
      <c r="AD109" s="195">
        <f t="shared" si="31"/>
        <v>1.9071361897317596E-8</v>
      </c>
      <c r="AF109" s="151">
        <v>735</v>
      </c>
      <c r="AG109" s="167">
        <f>Toolbox!$AA99*Calculations!I109</f>
        <v>0</v>
      </c>
      <c r="AH109" s="167">
        <f>Toolbox!$AA99*Calculations!J109</f>
        <v>0</v>
      </c>
      <c r="AI109" s="167">
        <f>Toolbox!$AA99*Calculations!K109</f>
        <v>1858024.5530224249</v>
      </c>
      <c r="AJ109" s="167">
        <f>Toolbox!$AA99*Calculations!L109</f>
        <v>5574073.659067275</v>
      </c>
    </row>
    <row r="110" spans="2:36">
      <c r="B110" s="151">
        <v>740</v>
      </c>
      <c r="C110" s="164">
        <f>SPD!N110</f>
        <v>9.8719320371639645E-3</v>
      </c>
      <c r="E110" s="151">
        <v>740</v>
      </c>
      <c r="F110" s="157">
        <v>1</v>
      </c>
      <c r="H110" s="151">
        <v>740</v>
      </c>
      <c r="I110" s="172">
        <v>0</v>
      </c>
      <c r="J110" s="172">
        <v>0</v>
      </c>
      <c r="K110" s="172">
        <v>9.9999999999999995E-7</v>
      </c>
      <c r="L110" s="172">
        <v>1.9999999999999999E-6</v>
      </c>
      <c r="M110" s="172">
        <v>2.4919999999999999E-4</v>
      </c>
      <c r="N110" s="172">
        <v>1.9674E-7</v>
      </c>
      <c r="O110" s="172"/>
      <c r="P110" s="151">
        <v>740</v>
      </c>
      <c r="Q110" s="195">
        <f t="shared" si="20"/>
        <v>0</v>
      </c>
      <c r="R110" s="195">
        <f t="shared" si="21"/>
        <v>0</v>
      </c>
      <c r="S110" s="195">
        <f t="shared" si="22"/>
        <v>9.8719320371639648E-9</v>
      </c>
      <c r="T110" s="195">
        <f t="shared" si="23"/>
        <v>1.974386407432793E-8</v>
      </c>
      <c r="U110" s="195">
        <f t="shared" si="24"/>
        <v>2.4600854636612598E-6</v>
      </c>
      <c r="V110" s="195">
        <f t="shared" si="25"/>
        <v>1.9422039089916383E-9</v>
      </c>
      <c r="X110" s="151">
        <v>740</v>
      </c>
      <c r="Y110" s="195">
        <f t="shared" si="26"/>
        <v>0</v>
      </c>
      <c r="Z110" s="195">
        <f t="shared" si="27"/>
        <v>0</v>
      </c>
      <c r="AA110" s="195">
        <f t="shared" si="28"/>
        <v>6.1849703515853715E-8</v>
      </c>
      <c r="AB110" s="195">
        <f t="shared" si="29"/>
        <v>1.2122122604909498E-7</v>
      </c>
      <c r="AC110" s="195">
        <f t="shared" si="30"/>
        <v>1.6802421793768782E-5</v>
      </c>
      <c r="AD110" s="195">
        <f t="shared" si="31"/>
        <v>1.4639630668093037E-8</v>
      </c>
      <c r="AF110" s="151">
        <v>740</v>
      </c>
      <c r="AG110" s="167">
        <f>Toolbox!$AA100*Calculations!I110</f>
        <v>0</v>
      </c>
      <c r="AH110" s="167">
        <f>Toolbox!$AA100*Calculations!J110</f>
        <v>0</v>
      </c>
      <c r="AI110" s="167">
        <f>Toolbox!$AA100*Calculations!K110</f>
        <v>1937780.8078313421</v>
      </c>
      <c r="AJ110" s="167">
        <f>Toolbox!$AA100*Calculations!L110</f>
        <v>3875561.6156626842</v>
      </c>
    </row>
    <row r="111" spans="2:36">
      <c r="B111" s="151">
        <v>745</v>
      </c>
      <c r="C111" s="164">
        <f>SPD!N111</f>
        <v>9.1163289660066565E-3</v>
      </c>
      <c r="E111" s="151">
        <v>745</v>
      </c>
      <c r="F111" s="157">
        <v>1</v>
      </c>
      <c r="H111" s="151">
        <v>745</v>
      </c>
      <c r="I111" s="172">
        <v>0</v>
      </c>
      <c r="J111" s="172">
        <v>0</v>
      </c>
      <c r="K111" s="172">
        <v>9.9999999999999995E-7</v>
      </c>
      <c r="L111" s="172">
        <v>1.9999999999999999E-6</v>
      </c>
      <c r="M111" s="172">
        <v>1.719E-4</v>
      </c>
      <c r="N111" s="172">
        <v>1.4637000000000001E-7</v>
      </c>
      <c r="O111" s="172"/>
      <c r="P111" s="151">
        <v>745</v>
      </c>
      <c r="Q111" s="195">
        <f t="shared" si="20"/>
        <v>0</v>
      </c>
      <c r="R111" s="195">
        <f t="shared" si="21"/>
        <v>0</v>
      </c>
      <c r="S111" s="195">
        <f t="shared" si="22"/>
        <v>9.1163289660066564E-9</v>
      </c>
      <c r="T111" s="195">
        <f t="shared" si="23"/>
        <v>1.8232657932013313E-8</v>
      </c>
      <c r="U111" s="195">
        <f t="shared" si="24"/>
        <v>1.5670969492565443E-6</v>
      </c>
      <c r="V111" s="195">
        <f t="shared" si="25"/>
        <v>1.3343570707543944E-9</v>
      </c>
      <c r="X111" s="151">
        <v>745</v>
      </c>
      <c r="Y111" s="195">
        <f t="shared" si="26"/>
        <v>0</v>
      </c>
      <c r="Z111" s="195">
        <f t="shared" si="27"/>
        <v>0</v>
      </c>
      <c r="AA111" s="195">
        <f t="shared" si="28"/>
        <v>5.7115693420280376E-8</v>
      </c>
      <c r="AB111" s="195">
        <f t="shared" si="29"/>
        <v>1.1194288718418681E-7</v>
      </c>
      <c r="AC111" s="195">
        <f t="shared" si="30"/>
        <v>1.0703296418795624E-5</v>
      </c>
      <c r="AD111" s="195">
        <f t="shared" si="31"/>
        <v>1.005790102922037E-8</v>
      </c>
      <c r="AF111" s="151">
        <v>745</v>
      </c>
      <c r="AG111" s="167">
        <f>Toolbox!$AA101*Calculations!I111</f>
        <v>0</v>
      </c>
      <c r="AH111" s="167">
        <f>Toolbox!$AA101*Calculations!J111</f>
        <v>0</v>
      </c>
      <c r="AI111" s="167">
        <f>Toolbox!$AA101*Calculations!K111</f>
        <v>1801552.9656922913</v>
      </c>
      <c r="AJ111" s="167">
        <f>Toolbox!$AA101*Calculations!L111</f>
        <v>3603105.9313845825</v>
      </c>
    </row>
    <row r="112" spans="2:36">
      <c r="B112" s="151">
        <v>750</v>
      </c>
      <c r="C112" s="164">
        <f>SPD!N112</f>
        <v>8.3607390421745025E-3</v>
      </c>
      <c r="E112" s="151">
        <v>750</v>
      </c>
      <c r="F112" s="157">
        <v>1</v>
      </c>
      <c r="H112" s="151">
        <v>750</v>
      </c>
      <c r="I112" s="172">
        <v>0</v>
      </c>
      <c r="J112" s="172">
        <v>0</v>
      </c>
      <c r="K112" s="172">
        <v>0</v>
      </c>
      <c r="L112" s="172">
        <v>9.9999999999999995E-7</v>
      </c>
      <c r="M112" s="172">
        <v>1.2E-4</v>
      </c>
      <c r="N112" s="172">
        <v>1.09332E-7</v>
      </c>
      <c r="O112" s="172"/>
      <c r="P112" s="151">
        <v>750</v>
      </c>
      <c r="Q112" s="195">
        <f t="shared" si="20"/>
        <v>0</v>
      </c>
      <c r="R112" s="195">
        <f t="shared" si="21"/>
        <v>0</v>
      </c>
      <c r="S112" s="195">
        <f t="shared" si="22"/>
        <v>0</v>
      </c>
      <c r="T112" s="195">
        <f t="shared" si="23"/>
        <v>8.3607390421745024E-9</v>
      </c>
      <c r="U112" s="195">
        <f t="shared" si="24"/>
        <v>1.0032886850609403E-6</v>
      </c>
      <c r="V112" s="195">
        <f t="shared" si="25"/>
        <v>9.1409632095902268E-10</v>
      </c>
      <c r="X112" s="151">
        <v>750</v>
      </c>
      <c r="Y112" s="195">
        <f t="shared" si="26"/>
        <v>0</v>
      </c>
      <c r="Z112" s="195">
        <f t="shared" si="27"/>
        <v>0</v>
      </c>
      <c r="AA112" s="195">
        <f t="shared" si="28"/>
        <v>0</v>
      </c>
      <c r="AB112" s="195">
        <f t="shared" si="29"/>
        <v>5.1332354880154231E-8</v>
      </c>
      <c r="AC112" s="195">
        <f t="shared" si="30"/>
        <v>6.8524772477704368E-6</v>
      </c>
      <c r="AD112" s="195">
        <f t="shared" si="31"/>
        <v>6.8901274845288854E-9</v>
      </c>
      <c r="AF112" s="151">
        <v>750</v>
      </c>
      <c r="AG112" s="167">
        <f>Toolbox!$AA102*Calculations!I112</f>
        <v>0</v>
      </c>
      <c r="AH112" s="167">
        <f>Toolbox!$AA102*Calculations!J112</f>
        <v>0</v>
      </c>
      <c r="AI112" s="167">
        <f>Toolbox!$AA102*Calculations!K112</f>
        <v>0</v>
      </c>
      <c r="AJ112" s="167">
        <f>Toolbox!$AA102*Calculations!L112</f>
        <v>1663323.4310115967</v>
      </c>
    </row>
    <row r="113" spans="2:36">
      <c r="B113" s="151">
        <v>755</v>
      </c>
      <c r="C113" s="164">
        <f>SPD!N113</f>
        <v>7.2317387893645873E-3</v>
      </c>
      <c r="E113" s="151">
        <v>755</v>
      </c>
      <c r="F113" s="157">
        <v>1</v>
      </c>
      <c r="H113" s="151">
        <v>755</v>
      </c>
      <c r="I113" s="172">
        <v>0</v>
      </c>
      <c r="J113" s="172">
        <v>0</v>
      </c>
      <c r="K113" s="172">
        <v>0</v>
      </c>
      <c r="L113" s="172">
        <v>9.9999999999999995E-7</v>
      </c>
      <c r="M113" s="172">
        <v>8.4800000000000001E-5</v>
      </c>
      <c r="N113" s="172">
        <v>8.1958699999999997E-8</v>
      </c>
      <c r="O113" s="172"/>
      <c r="P113" s="151">
        <v>755</v>
      </c>
      <c r="Q113" s="195">
        <f t="shared" si="20"/>
        <v>0</v>
      </c>
      <c r="R113" s="195">
        <f t="shared" si="21"/>
        <v>0</v>
      </c>
      <c r="S113" s="195">
        <f t="shared" si="22"/>
        <v>0</v>
      </c>
      <c r="T113" s="195">
        <f t="shared" si="23"/>
        <v>7.2317387893645866E-9</v>
      </c>
      <c r="U113" s="195">
        <f t="shared" si="24"/>
        <v>6.13251449338117E-7</v>
      </c>
      <c r="V113" s="195">
        <f t="shared" si="25"/>
        <v>5.9270390991589535E-10</v>
      </c>
      <c r="X113" s="151">
        <v>755</v>
      </c>
      <c r="Y113" s="195">
        <f t="shared" si="26"/>
        <v>0</v>
      </c>
      <c r="Z113" s="195">
        <f t="shared" si="27"/>
        <v>0</v>
      </c>
      <c r="AA113" s="195">
        <f t="shared" si="28"/>
        <v>0</v>
      </c>
      <c r="AB113" s="195">
        <f t="shared" si="29"/>
        <v>4.440064210396532E-8</v>
      </c>
      <c r="AC113" s="195">
        <f t="shared" si="30"/>
        <v>4.1885168908253378E-6</v>
      </c>
      <c r="AD113" s="195">
        <f t="shared" si="31"/>
        <v>4.4675877216251407E-9</v>
      </c>
      <c r="AF113" s="151">
        <v>755</v>
      </c>
      <c r="AG113" s="167">
        <f>Toolbox!$AA103*Calculations!I113</f>
        <v>0</v>
      </c>
      <c r="AH113" s="167">
        <f>Toolbox!$AA103*Calculations!J113</f>
        <v>0</v>
      </c>
      <c r="AI113" s="167">
        <f>Toolbox!$AA103*Calculations!K113</f>
        <v>0</v>
      </c>
      <c r="AJ113" s="167">
        <f>Toolbox!$AA103*Calculations!L113</f>
        <v>1448306.4218038607</v>
      </c>
    </row>
    <row r="114" spans="2:36">
      <c r="B114" s="151">
        <v>760</v>
      </c>
      <c r="C114" s="164">
        <f>SPD!N114</f>
        <v>6.1027516838798234E-3</v>
      </c>
      <c r="E114" s="151">
        <v>760</v>
      </c>
      <c r="F114" s="157">
        <v>1</v>
      </c>
      <c r="H114" s="151">
        <v>760</v>
      </c>
      <c r="I114" s="172">
        <v>0</v>
      </c>
      <c r="J114" s="172">
        <v>0</v>
      </c>
      <c r="K114" s="172">
        <v>0</v>
      </c>
      <c r="L114" s="172">
        <v>9.9999999999999995E-7</v>
      </c>
      <c r="M114" s="172">
        <v>6.0000000000000002E-5</v>
      </c>
      <c r="N114" s="172">
        <v>6.1674899999999996E-8</v>
      </c>
      <c r="O114" s="172"/>
      <c r="P114" s="151">
        <v>760</v>
      </c>
      <c r="Q114" s="195">
        <f t="shared" si="20"/>
        <v>0</v>
      </c>
      <c r="R114" s="195">
        <f t="shared" si="21"/>
        <v>0</v>
      </c>
      <c r="S114" s="195">
        <f t="shared" si="22"/>
        <v>0</v>
      </c>
      <c r="T114" s="195">
        <f t="shared" si="23"/>
        <v>6.1027516838798235E-9</v>
      </c>
      <c r="U114" s="195">
        <f t="shared" si="24"/>
        <v>3.6616510103278941E-7</v>
      </c>
      <c r="V114" s="195">
        <f t="shared" si="25"/>
        <v>3.7638659982811971E-10</v>
      </c>
      <c r="X114" s="151">
        <v>760</v>
      </c>
      <c r="Y114" s="195">
        <f t="shared" si="26"/>
        <v>0</v>
      </c>
      <c r="Z114" s="195">
        <f t="shared" si="27"/>
        <v>0</v>
      </c>
      <c r="AA114" s="195">
        <f t="shared" si="28"/>
        <v>0</v>
      </c>
      <c r="AB114" s="195">
        <f t="shared" si="29"/>
        <v>3.7469010048291313E-8</v>
      </c>
      <c r="AC114" s="195">
        <f t="shared" si="30"/>
        <v>2.5009133075215997E-6</v>
      </c>
      <c r="AD114" s="195">
        <f t="shared" si="31"/>
        <v>2.8370660693211106E-9</v>
      </c>
      <c r="AF114" s="151">
        <v>760</v>
      </c>
      <c r="AG114" s="167">
        <f>Toolbox!$AA104*Calculations!I114</f>
        <v>0</v>
      </c>
      <c r="AH114" s="167">
        <f>Toolbox!$AA104*Calculations!J114</f>
        <v>0</v>
      </c>
      <c r="AI114" s="167">
        <f>Toolbox!$AA104*Calculations!K114</f>
        <v>0</v>
      </c>
      <c r="AJ114" s="167">
        <f>Toolbox!$AA104*Calculations!L114</f>
        <v>1230297.2838264075</v>
      </c>
    </row>
    <row r="115" spans="2:36">
      <c r="B115" s="151">
        <v>765</v>
      </c>
      <c r="C115" s="164">
        <f>SPD!N115</f>
        <v>7.442937420612342E-3</v>
      </c>
      <c r="E115" s="151">
        <v>765</v>
      </c>
      <c r="F115" s="157">
        <v>1</v>
      </c>
      <c r="H115" s="151">
        <v>765</v>
      </c>
      <c r="I115" s="172">
        <v>0</v>
      </c>
      <c r="J115" s="172">
        <v>0</v>
      </c>
      <c r="K115" s="172">
        <v>0</v>
      </c>
      <c r="L115" s="172">
        <v>0</v>
      </c>
      <c r="M115" s="172">
        <v>4.2400000000000001E-5</v>
      </c>
      <c r="N115" s="172">
        <v>4.6591600000000009E-8</v>
      </c>
      <c r="O115" s="172"/>
      <c r="P115" s="151">
        <v>765</v>
      </c>
      <c r="Q115" s="195">
        <f t="shared" si="20"/>
        <v>0</v>
      </c>
      <c r="R115" s="195">
        <f t="shared" si="21"/>
        <v>0</v>
      </c>
      <c r="S115" s="195">
        <f t="shared" si="22"/>
        <v>0</v>
      </c>
      <c r="T115" s="195">
        <f t="shared" si="23"/>
        <v>0</v>
      </c>
      <c r="U115" s="195">
        <f t="shared" si="24"/>
        <v>3.1558054663396328E-7</v>
      </c>
      <c r="V115" s="195">
        <f t="shared" si="25"/>
        <v>3.4677836312620205E-10</v>
      </c>
      <c r="X115" s="151">
        <v>765</v>
      </c>
      <c r="Y115" s="195">
        <f t="shared" si="26"/>
        <v>0</v>
      </c>
      <c r="Z115" s="195">
        <f t="shared" si="27"/>
        <v>0</v>
      </c>
      <c r="AA115" s="195">
        <f t="shared" si="28"/>
        <v>0</v>
      </c>
      <c r="AB115" s="195">
        <f t="shared" si="29"/>
        <v>0</v>
      </c>
      <c r="AC115" s="195">
        <f t="shared" si="30"/>
        <v>2.155420018034828E-6</v>
      </c>
      <c r="AD115" s="195">
        <f t="shared" si="31"/>
        <v>2.6138898888784536E-9</v>
      </c>
      <c r="AF115" s="151">
        <v>765</v>
      </c>
      <c r="AG115" s="167">
        <f>Toolbox!$AA105*Calculations!I115</f>
        <v>0</v>
      </c>
      <c r="AH115" s="167">
        <f>Toolbox!$AA105*Calculations!J115</f>
        <v>0</v>
      </c>
      <c r="AI115" s="167">
        <f>Toolbox!$AA105*Calculations!K115</f>
        <v>0</v>
      </c>
      <c r="AJ115" s="167">
        <f>Toolbox!$AA105*Calculations!L115</f>
        <v>0</v>
      </c>
    </row>
    <row r="116" spans="2:36">
      <c r="B116" s="151">
        <v>770</v>
      </c>
      <c r="C116" s="164">
        <f>SPD!N116</f>
        <v>8.7831231573448614E-3</v>
      </c>
      <c r="E116" s="151">
        <v>770</v>
      </c>
      <c r="F116" s="157">
        <v>1</v>
      </c>
      <c r="H116" s="151">
        <v>770</v>
      </c>
      <c r="I116" s="172">
        <v>0</v>
      </c>
      <c r="J116" s="172">
        <v>0</v>
      </c>
      <c r="K116" s="172">
        <v>0</v>
      </c>
      <c r="L116" s="172">
        <v>0</v>
      </c>
      <c r="M116" s="172">
        <v>3.0000000000000001E-5</v>
      </c>
      <c r="N116" s="172">
        <v>3.53272E-8</v>
      </c>
      <c r="O116" s="172"/>
      <c r="P116" s="151">
        <v>770</v>
      </c>
      <c r="Q116" s="195">
        <f t="shared" si="20"/>
        <v>0</v>
      </c>
      <c r="R116" s="195">
        <f t="shared" si="21"/>
        <v>0</v>
      </c>
      <c r="S116" s="195">
        <f t="shared" si="22"/>
        <v>0</v>
      </c>
      <c r="T116" s="195">
        <f t="shared" si="23"/>
        <v>0</v>
      </c>
      <c r="U116" s="195">
        <f t="shared" si="24"/>
        <v>2.6349369472034587E-7</v>
      </c>
      <c r="V116" s="195">
        <f t="shared" si="25"/>
        <v>3.1028314840415339E-10</v>
      </c>
      <c r="X116" s="151">
        <v>770</v>
      </c>
      <c r="Y116" s="195">
        <f t="shared" si="26"/>
        <v>0</v>
      </c>
      <c r="Z116" s="195">
        <f t="shared" si="27"/>
        <v>0</v>
      </c>
      <c r="AA116" s="195">
        <f t="shared" si="28"/>
        <v>0</v>
      </c>
      <c r="AB116" s="195">
        <f t="shared" si="29"/>
        <v>0</v>
      </c>
      <c r="AC116" s="195">
        <f t="shared" si="30"/>
        <v>1.7996660132696175E-6</v>
      </c>
      <c r="AD116" s="195">
        <f t="shared" si="31"/>
        <v>2.3388021587950906E-9</v>
      </c>
      <c r="AF116" s="151">
        <v>770</v>
      </c>
      <c r="AG116" s="167">
        <f>Toolbox!$AA106*Calculations!I116</f>
        <v>0</v>
      </c>
      <c r="AH116" s="167">
        <f>Toolbox!$AA106*Calculations!J116</f>
        <v>0</v>
      </c>
      <c r="AI116" s="167">
        <f>Toolbox!$AA106*Calculations!K116</f>
        <v>0</v>
      </c>
      <c r="AJ116" s="167">
        <f>Toolbox!$AA106*Calculations!L116</f>
        <v>0</v>
      </c>
    </row>
    <row r="117" spans="2:36">
      <c r="B117" s="151">
        <v>775</v>
      </c>
      <c r="C117" s="164">
        <f>SPD!N117</f>
        <v>8.5581329820122627E-3</v>
      </c>
      <c r="E117" s="151">
        <v>775</v>
      </c>
      <c r="F117" s="157">
        <v>1</v>
      </c>
      <c r="H117" s="151">
        <v>775</v>
      </c>
      <c r="I117" s="172">
        <v>0</v>
      </c>
      <c r="J117" s="172">
        <v>0</v>
      </c>
      <c r="K117" s="172">
        <v>0</v>
      </c>
      <c r="L117" s="172">
        <v>0</v>
      </c>
      <c r="M117" s="172">
        <v>2.12E-5</v>
      </c>
      <c r="N117" s="172">
        <v>2.6880300000000003E-8</v>
      </c>
      <c r="O117" s="172"/>
      <c r="P117" s="151">
        <v>775</v>
      </c>
      <c r="Q117" s="195">
        <f t="shared" si="20"/>
        <v>0</v>
      </c>
      <c r="R117" s="195">
        <f t="shared" si="21"/>
        <v>0</v>
      </c>
      <c r="S117" s="195">
        <f t="shared" si="22"/>
        <v>0</v>
      </c>
      <c r="T117" s="195">
        <f t="shared" si="23"/>
        <v>0</v>
      </c>
      <c r="U117" s="195">
        <f t="shared" si="24"/>
        <v>1.8143241921865998E-7</v>
      </c>
      <c r="V117" s="195">
        <f t="shared" si="25"/>
        <v>2.3004518199638426E-10</v>
      </c>
      <c r="X117" s="151">
        <v>775</v>
      </c>
      <c r="Y117" s="195">
        <f t="shared" si="26"/>
        <v>0</v>
      </c>
      <c r="Z117" s="195">
        <f t="shared" si="27"/>
        <v>0</v>
      </c>
      <c r="AA117" s="195">
        <f t="shared" si="28"/>
        <v>0</v>
      </c>
      <c r="AB117" s="195">
        <f t="shared" si="29"/>
        <v>0</v>
      </c>
      <c r="AC117" s="195">
        <f t="shared" si="30"/>
        <v>1.2391862314567007E-6</v>
      </c>
      <c r="AD117" s="195">
        <f t="shared" si="31"/>
        <v>1.7339973860673608E-9</v>
      </c>
      <c r="AF117" s="151">
        <v>775</v>
      </c>
      <c r="AG117" s="167">
        <f>Toolbox!$AA107*Calculations!I117</f>
        <v>0</v>
      </c>
      <c r="AH117" s="167">
        <f>Toolbox!$AA107*Calculations!J117</f>
        <v>0</v>
      </c>
      <c r="AI117" s="167">
        <f>Toolbox!$AA107*Calculations!K117</f>
        <v>0</v>
      </c>
      <c r="AJ117" s="167">
        <f>Toolbox!$AA107*Calculations!L117</f>
        <v>0</v>
      </c>
    </row>
    <row r="118" spans="2:36">
      <c r="B118" s="151">
        <v>780</v>
      </c>
      <c r="C118" s="164">
        <f>SPD!N118</f>
        <v>8.3331428066796675E-3</v>
      </c>
      <c r="E118" s="151">
        <v>780</v>
      </c>
      <c r="F118" s="157">
        <v>1</v>
      </c>
      <c r="H118" s="151">
        <v>780</v>
      </c>
      <c r="I118" s="172">
        <v>0</v>
      </c>
      <c r="J118" s="172">
        <v>0</v>
      </c>
      <c r="K118" s="172">
        <v>0</v>
      </c>
      <c r="L118" s="172">
        <v>0</v>
      </c>
      <c r="M118" s="172">
        <v>1.499E-5</v>
      </c>
      <c r="N118" s="172">
        <v>2.05258E-8</v>
      </c>
      <c r="O118" s="172"/>
      <c r="P118" s="151">
        <v>780</v>
      </c>
      <c r="Q118" s="195">
        <f t="shared" si="20"/>
        <v>0</v>
      </c>
      <c r="R118" s="195">
        <f t="shared" si="21"/>
        <v>0</v>
      </c>
      <c r="S118" s="195">
        <f t="shared" si="22"/>
        <v>0</v>
      </c>
      <c r="T118" s="195">
        <f t="shared" si="23"/>
        <v>0</v>
      </c>
      <c r="U118" s="195">
        <f t="shared" si="24"/>
        <v>1.2491381067212822E-7</v>
      </c>
      <c r="V118" s="195">
        <f t="shared" si="25"/>
        <v>1.7104442262134552E-10</v>
      </c>
      <c r="X118" s="151">
        <v>780</v>
      </c>
      <c r="Y118" s="195">
        <f t="shared" si="26"/>
        <v>0</v>
      </c>
      <c r="Z118" s="195">
        <f t="shared" si="27"/>
        <v>0</v>
      </c>
      <c r="AA118" s="195">
        <f t="shared" si="28"/>
        <v>0</v>
      </c>
      <c r="AB118" s="195">
        <f t="shared" si="29"/>
        <v>0</v>
      </c>
      <c r="AC118" s="195">
        <f t="shared" si="30"/>
        <v>8.5316326029438923E-7</v>
      </c>
      <c r="AD118" s="195">
        <f t="shared" si="31"/>
        <v>1.2892709995181546E-9</v>
      </c>
      <c r="AF118" s="151">
        <v>780</v>
      </c>
      <c r="AG118" s="167">
        <f>Toolbox!$AA108*Calculations!I118</f>
        <v>0</v>
      </c>
      <c r="AH118" s="167">
        <f>Toolbox!$AA108*Calculations!J118</f>
        <v>0</v>
      </c>
      <c r="AI118" s="167">
        <f>Toolbox!$AA108*Calculations!K118</f>
        <v>0</v>
      </c>
      <c r="AJ118" s="167">
        <f>Toolbox!$AA108*Calculations!L118</f>
        <v>0</v>
      </c>
    </row>
    <row r="120" spans="2:36">
      <c r="C120" s="164">
        <f>SUM(C22:C118)</f>
        <v>0.99999999999999978</v>
      </c>
    </row>
  </sheetData>
  <pageMargins left="0.70866141732283472" right="0.70866141732283472" top="0.74803149606299213" bottom="0.74803149606299213" header="0.31496062992125984" footer="0.31496062992125984"/>
  <pageSetup paperSize="9"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O118"/>
  <sheetViews>
    <sheetView topLeftCell="A3" zoomScale="80" zoomScaleNormal="80" workbookViewId="0">
      <selection activeCell="L6" sqref="L6"/>
    </sheetView>
  </sheetViews>
  <sheetFormatPr defaultColWidth="9.140625" defaultRowHeight="15.75"/>
  <cols>
    <col min="1" max="6" width="10.7109375" style="12" customWidth="1"/>
    <col min="7" max="13" width="10.7109375" style="20" customWidth="1"/>
    <col min="14" max="14" width="10.7109375" style="12" customWidth="1"/>
    <col min="15" max="15" width="1.7109375" style="12" customWidth="1"/>
    <col min="16" max="16384" width="9.140625" style="12"/>
  </cols>
  <sheetData>
    <row r="1" spans="1:15">
      <c r="M1" s="77"/>
    </row>
    <row r="2" spans="1:15" ht="33.75">
      <c r="A2" s="78" t="s">
        <v>144</v>
      </c>
      <c r="B2" s="20"/>
      <c r="D2" s="79"/>
      <c r="G2" s="12"/>
      <c r="H2" s="12"/>
      <c r="I2" s="12"/>
      <c r="J2" s="12"/>
      <c r="K2" s="12"/>
      <c r="L2" s="12"/>
      <c r="M2" s="12"/>
    </row>
    <row r="3" spans="1:15" ht="15" customHeight="1">
      <c r="F3" s="20"/>
      <c r="I3" s="12"/>
      <c r="J3" s="12"/>
      <c r="K3" s="12"/>
      <c r="M3" s="77"/>
      <c r="O3" s="25"/>
    </row>
    <row r="4" spans="1:15" ht="15" customHeight="1">
      <c r="C4" s="80" t="s">
        <v>56</v>
      </c>
      <c r="G4" s="77"/>
      <c r="H4" s="80" t="s">
        <v>57</v>
      </c>
      <c r="L4" s="80" t="s">
        <v>55</v>
      </c>
    </row>
    <row r="5" spans="1:15" ht="15" customHeight="1">
      <c r="A5" s="81"/>
      <c r="B5" s="131" t="s">
        <v>40</v>
      </c>
      <c r="C5" s="82">
        <f>IF(C18="exact",SUM(Toolbox!V$12:V$108),IF(C6="Q",10^Toolbox!D14,Toolbox!D14))</f>
        <v>100</v>
      </c>
      <c r="G5" s="137" t="s">
        <v>43</v>
      </c>
      <c r="H5" s="140">
        <f>SUMPRODUCT(Calculations!$M$22:$M$118,$N$22:$N$118)</f>
        <v>0.27786307917322911</v>
      </c>
      <c r="I5" s="83" t="s">
        <v>72</v>
      </c>
      <c r="K5" s="147" t="s">
        <v>41</v>
      </c>
      <c r="L5" s="140">
        <f>IF($C$6="L",1,IF($C$6="Q",$H$9/$H$10,$H$9))*$C$5</f>
        <v>100</v>
      </c>
      <c r="M5" s="83" t="s">
        <v>72</v>
      </c>
    </row>
    <row r="6" spans="1:15" ht="15" customHeight="1">
      <c r="B6" s="132" t="s">
        <v>39</v>
      </c>
      <c r="C6" s="84" t="str">
        <f>IF(C18="exact","P",Toolbox!D13)</f>
        <v>L</v>
      </c>
      <c r="D6" s="25" t="s">
        <v>58</v>
      </c>
      <c r="G6" s="138" t="s">
        <v>42</v>
      </c>
      <c r="H6" s="141">
        <f>SUM($N$22:$N$118)</f>
        <v>0.99999999999999978</v>
      </c>
      <c r="I6" s="124" t="s">
        <v>149</v>
      </c>
      <c r="K6" s="138" t="s">
        <v>45</v>
      </c>
      <c r="L6" s="142">
        <f>IF($C$6="P",1,IF($C$6="Q",1/$H$10,1/$H$9))*$C$5</f>
        <v>52.692337886186436</v>
      </c>
      <c r="M6" s="124" t="s">
        <v>149</v>
      </c>
    </row>
    <row r="7" spans="1:15" ht="15" customHeight="1">
      <c r="B7" s="133" t="s">
        <v>49</v>
      </c>
      <c r="C7" s="85" t="str">
        <f>IF(C18="exact","U",Toolbox!D12)</f>
        <v>D</v>
      </c>
      <c r="D7" s="75" t="s">
        <v>102</v>
      </c>
      <c r="G7" s="138" t="s">
        <v>44</v>
      </c>
      <c r="H7" s="143">
        <f>SUMPRODUCT($A$22:$A$118,$N$22:$N$118)</f>
        <v>551.6189230318638</v>
      </c>
      <c r="I7" s="83" t="s">
        <v>73</v>
      </c>
      <c r="K7" s="138" t="s">
        <v>46</v>
      </c>
      <c r="L7" s="142">
        <f>IF($C$6="Q",1,IF($C$6="P",$H$10,$H$10/$H$9))*$C$5</f>
        <v>146322101437841.03</v>
      </c>
      <c r="M7" s="83" t="s">
        <v>73</v>
      </c>
    </row>
    <row r="8" spans="1:15" ht="15" customHeight="1">
      <c r="C8" s="80" t="s">
        <v>74</v>
      </c>
      <c r="E8" s="20"/>
      <c r="G8" s="138"/>
      <c r="H8" s="142"/>
      <c r="K8" s="138"/>
      <c r="L8" s="142"/>
    </row>
    <row r="9" spans="1:15" ht="15" customHeight="1">
      <c r="B9" s="134" t="s">
        <v>79</v>
      </c>
      <c r="C9" s="86">
        <f>$L$17*(0.000001/(0.01^2))</f>
        <v>6.8300154779022675</v>
      </c>
      <c r="D9" s="25" t="s">
        <v>77</v>
      </c>
      <c r="E9" s="14"/>
      <c r="G9" s="138" t="s">
        <v>38</v>
      </c>
      <c r="H9" s="142">
        <f>C9*(H5/H6)</f>
        <v>1.8978091314907384</v>
      </c>
      <c r="K9" s="138" t="s">
        <v>50</v>
      </c>
      <c r="L9" s="142">
        <f>INDEX($A$22:$A$118,MATCH(MAX($N$22:$N$118),$N$22:$N$118,0),1)</f>
        <v>460</v>
      </c>
    </row>
    <row r="10" spans="1:15" ht="15" customHeight="1">
      <c r="B10" s="135" t="s">
        <v>75</v>
      </c>
      <c r="C10" s="87">
        <f>(0.000000001/($H$16*$H$15))*(0.000001)</f>
        <v>5034117008.1942272</v>
      </c>
      <c r="D10" s="25" t="s">
        <v>78</v>
      </c>
      <c r="E10" s="14"/>
      <c r="G10" s="139" t="s">
        <v>76</v>
      </c>
      <c r="H10" s="144">
        <f>C10*(H7/H6)</f>
        <v>2776914202476.4883</v>
      </c>
      <c r="K10" s="139" t="s">
        <v>51</v>
      </c>
      <c r="L10" s="145">
        <f>IF(AND(L9&gt;300,L9&lt;780),L9,"n/a")</f>
        <v>460</v>
      </c>
    </row>
    <row r="11" spans="1:15" ht="15" customHeight="1">
      <c r="J11" s="12"/>
      <c r="K11" s="12"/>
      <c r="L11" s="12"/>
      <c r="N11" s="77"/>
      <c r="O11" s="25"/>
    </row>
    <row r="12" spans="1:15" ht="15" customHeight="1">
      <c r="B12" s="88" t="s">
        <v>27</v>
      </c>
      <c r="G12" s="88" t="s">
        <v>147</v>
      </c>
      <c r="H12" s="2"/>
      <c r="I12" s="2"/>
      <c r="J12" s="12"/>
      <c r="K12" s="88" t="s">
        <v>52</v>
      </c>
      <c r="L12" s="12"/>
      <c r="M12" s="12"/>
      <c r="N12" s="20"/>
      <c r="O12" s="20"/>
    </row>
    <row r="13" spans="1:15" ht="15" customHeight="1">
      <c r="B13" s="2" t="s">
        <v>54</v>
      </c>
      <c r="G13" s="2" t="s">
        <v>33</v>
      </c>
      <c r="H13" s="2"/>
      <c r="I13" s="48"/>
      <c r="J13" s="12"/>
      <c r="K13" s="2" t="s">
        <v>34</v>
      </c>
      <c r="N13" s="20"/>
      <c r="O13" s="20"/>
    </row>
    <row r="14" spans="1:15" ht="15" customHeight="1">
      <c r="B14" s="6" t="s">
        <v>61</v>
      </c>
      <c r="C14" s="6" t="s">
        <v>60</v>
      </c>
      <c r="D14" s="6" t="s">
        <v>63</v>
      </c>
      <c r="G14" s="6" t="s">
        <v>59</v>
      </c>
      <c r="H14" s="6" t="s">
        <v>60</v>
      </c>
      <c r="I14" s="6" t="s">
        <v>63</v>
      </c>
      <c r="J14" s="12"/>
      <c r="K14" s="6" t="s">
        <v>59</v>
      </c>
      <c r="L14" s="6" t="s">
        <v>60</v>
      </c>
      <c r="M14" s="6" t="s">
        <v>68</v>
      </c>
      <c r="N14" s="20"/>
      <c r="O14" s="89"/>
    </row>
    <row r="15" spans="1:15" ht="15" customHeight="1">
      <c r="B15" s="129" t="s">
        <v>19</v>
      </c>
      <c r="C15" s="90">
        <f>Toolbox!D18</f>
        <v>608</v>
      </c>
      <c r="D15" s="6" t="s">
        <v>62</v>
      </c>
      <c r="G15" s="91" t="s">
        <v>5</v>
      </c>
      <c r="H15" s="48">
        <v>6.6260695699999996E-34</v>
      </c>
      <c r="I15" s="2" t="s">
        <v>65</v>
      </c>
      <c r="J15" s="12"/>
      <c r="K15" s="92" t="s">
        <v>31</v>
      </c>
      <c r="L15" s="2">
        <v>1.0002800000000001</v>
      </c>
      <c r="M15" s="12" t="s">
        <v>70</v>
      </c>
      <c r="N15" s="20"/>
      <c r="O15" s="89"/>
    </row>
    <row r="16" spans="1:15" ht="15" customHeight="1">
      <c r="B16" s="136" t="s">
        <v>25</v>
      </c>
      <c r="C16" s="85">
        <f>Toolbox!D19</f>
        <v>30</v>
      </c>
      <c r="D16" s="6" t="s">
        <v>62</v>
      </c>
      <c r="G16" s="91" t="s">
        <v>4</v>
      </c>
      <c r="H16" s="48">
        <v>299792458</v>
      </c>
      <c r="I16" s="2" t="s">
        <v>64</v>
      </c>
      <c r="J16" s="12"/>
      <c r="K16" s="22" t="s">
        <v>32</v>
      </c>
      <c r="L16" s="2">
        <f>H16/(L15*540000000000000)/0.000000001</f>
        <v>555.01581409057303</v>
      </c>
      <c r="M16" s="12" t="s">
        <v>62</v>
      </c>
      <c r="N16" s="20"/>
      <c r="O16" s="89" t="s">
        <v>71</v>
      </c>
    </row>
    <row r="17" spans="1:15" ht="15" customHeight="1">
      <c r="C17" s="80"/>
      <c r="G17" s="91" t="s">
        <v>6</v>
      </c>
      <c r="H17" s="48">
        <f>1.3806488E-23</f>
        <v>1.3806488E-23</v>
      </c>
      <c r="I17" s="2" t="s">
        <v>66</v>
      </c>
      <c r="J17" s="12"/>
      <c r="K17" s="22" t="s">
        <v>35</v>
      </c>
      <c r="L17" s="2">
        <f>683/(1-(1-0.9998567)*(L16-555))</f>
        <v>683.00154779022682</v>
      </c>
      <c r="M17" s="12" t="s">
        <v>69</v>
      </c>
      <c r="N17" s="20"/>
      <c r="O17" s="126" t="s">
        <v>136</v>
      </c>
    </row>
    <row r="18" spans="1:15" ht="15" customHeight="1">
      <c r="A18" s="91"/>
      <c r="B18" s="130" t="s">
        <v>148</v>
      </c>
      <c r="C18" s="93" t="str">
        <f>IF(Toolbox!D6&lt;&gt;"approximate mode","exact","approx")</f>
        <v>approx</v>
      </c>
      <c r="G18" s="146" t="s">
        <v>7</v>
      </c>
      <c r="H18" s="93">
        <f>Toolbox!D17</f>
        <v>2856</v>
      </c>
      <c r="I18" s="2" t="s">
        <v>67</v>
      </c>
      <c r="J18" s="12"/>
      <c r="K18" s="22" t="s">
        <v>36</v>
      </c>
      <c r="L18" s="2">
        <f>683/(0.402-(0.402-0.3864)*(L16-555))</f>
        <v>1700.048262657675</v>
      </c>
      <c r="M18" s="12" t="s">
        <v>69</v>
      </c>
      <c r="N18" s="20"/>
      <c r="O18" s="126" t="s">
        <v>137</v>
      </c>
    </row>
    <row r="19" spans="1:15" ht="15" customHeight="1">
      <c r="F19" s="94"/>
    </row>
    <row r="20" spans="1:15">
      <c r="B20" s="80" t="s">
        <v>30</v>
      </c>
      <c r="C20" s="7"/>
      <c r="D20" s="7"/>
      <c r="E20" s="7"/>
      <c r="F20" s="80" t="s">
        <v>139</v>
      </c>
      <c r="G20" s="79"/>
      <c r="H20" s="79"/>
      <c r="I20" s="79"/>
      <c r="J20" s="79"/>
      <c r="K20" s="79"/>
      <c r="L20" s="79"/>
      <c r="M20" s="80" t="s">
        <v>80</v>
      </c>
      <c r="N20" s="80"/>
    </row>
    <row r="21" spans="1:15" s="25" customFormat="1" ht="17.25">
      <c r="A21" s="148" t="s">
        <v>150</v>
      </c>
      <c r="B21" s="95" t="s">
        <v>26</v>
      </c>
      <c r="C21" s="96" t="s">
        <v>8</v>
      </c>
      <c r="D21" s="97" t="s">
        <v>9</v>
      </c>
      <c r="E21" s="98" t="s">
        <v>10</v>
      </c>
      <c r="F21" s="95" t="s">
        <v>11</v>
      </c>
      <c r="G21" s="99" t="s">
        <v>13</v>
      </c>
      <c r="H21" s="99" t="s">
        <v>12</v>
      </c>
      <c r="I21" s="99" t="s">
        <v>24</v>
      </c>
      <c r="J21" s="99" t="s">
        <v>3</v>
      </c>
      <c r="K21" s="100" t="s">
        <v>101</v>
      </c>
      <c r="L21" s="99" t="s">
        <v>26</v>
      </c>
      <c r="M21" s="101" t="s">
        <v>29</v>
      </c>
      <c r="N21" s="102" t="s">
        <v>14</v>
      </c>
    </row>
    <row r="22" spans="1:15">
      <c r="A22" s="103">
        <v>300</v>
      </c>
      <c r="B22" s="104">
        <f t="shared" ref="B22:B53" si="0">EXP(-(((A22-$C$15)/($C$16/2))^2*LN(2)))</f>
        <v>1.2033783219351706E-127</v>
      </c>
      <c r="C22" s="105">
        <f>A22/1000000000</f>
        <v>2.9999999999999999E-7</v>
      </c>
      <c r="D22" s="105">
        <f t="shared" ref="D22:D53" si="1">$H$15*H$16/($H$17*$C22*$H$18)</f>
        <v>16.792448179082811</v>
      </c>
      <c r="E22" s="106">
        <f t="shared" ref="E22:E53" si="2">(2*H$15*(H$16^2))/((C22^5))*(1/(EXP(D22)-1))</f>
        <v>2497201341.9644723</v>
      </c>
      <c r="F22" s="120">
        <v>9.668083704707517E-5</v>
      </c>
      <c r="G22" s="120">
        <f t="shared" ref="G22:G85" si="3">E22/SUM(E$22:E$118)</f>
        <v>9.6831944384592414E-5</v>
      </c>
      <c r="H22" s="120">
        <v>4.4832378769599419E-6</v>
      </c>
      <c r="I22" s="120">
        <f t="shared" ref="I22:I53" si="4">1/97</f>
        <v>1.0309278350515464E-2</v>
      </c>
      <c r="J22" s="120">
        <v>0</v>
      </c>
      <c r="K22" s="120">
        <v>0</v>
      </c>
      <c r="L22" s="120">
        <f>IF(B22/SUM(B$22:B$118)&lt;0.0001,B22/SUM(B$22:B$118),B22/SUM(B$22:B$118))</f>
        <v>1.8841640933415492E-128</v>
      </c>
      <c r="M22" s="107" t="e">
        <f>Toolbox!V12/SUM(Toolbox!V$12:V$108)</f>
        <v>#DIV/0!</v>
      </c>
      <c r="N22" s="108">
        <f>HLOOKUP($C$7,$F$21:$M$118,ROW()-20,0)</f>
        <v>4.4832378769599419E-6</v>
      </c>
    </row>
    <row r="23" spans="1:15">
      <c r="A23" s="103">
        <v>305</v>
      </c>
      <c r="B23" s="110">
        <f t="shared" si="0"/>
        <v>1.4713655020652816E-123</v>
      </c>
      <c r="C23" s="111">
        <f t="shared" ref="C23:C86" si="5">A23/1000000000</f>
        <v>3.0499999999999999E-7</v>
      </c>
      <c r="D23" s="111">
        <f t="shared" si="1"/>
        <v>16.517162143360146</v>
      </c>
      <c r="E23" s="112">
        <f>(2*H$15*(H$16^2))/((C23^5))*(1/(EXP(D23)-1))</f>
        <v>3027720976.9952073</v>
      </c>
      <c r="F23" s="120">
        <v>1.1722544868082562E-4</v>
      </c>
      <c r="G23" s="120">
        <f t="shared" si="3"/>
        <v>1.1740347257134976E-4</v>
      </c>
      <c r="H23" s="120">
        <v>2.1881093251098038E-4</v>
      </c>
      <c r="I23" s="120">
        <f t="shared" si="4"/>
        <v>1.0309278350515464E-2</v>
      </c>
      <c r="J23" s="120">
        <v>0</v>
      </c>
      <c r="K23" s="120">
        <v>0</v>
      </c>
      <c r="L23" s="120">
        <f t="shared" ref="L23:L86" si="6">IF(B23/SUM(B$22:B$118)&lt;0.0001,B23/SUM(B$22:B$118),B23/SUM(B$22:B$118))</f>
        <v>2.303759338721257E-124</v>
      </c>
      <c r="M23" s="107" t="e">
        <f>Toolbox!V13/SUM(Toolbox!V$12:V$108)</f>
        <v>#DIV/0!</v>
      </c>
      <c r="N23" s="108">
        <f t="shared" ref="N23:N86" si="7">HLOOKUP($C$7,$F$21:$M$118,ROW()-20,0)</f>
        <v>2.1881093251098038E-4</v>
      </c>
    </row>
    <row r="24" spans="1:15">
      <c r="A24" s="103">
        <v>310</v>
      </c>
      <c r="B24" s="110">
        <f t="shared" si="0"/>
        <v>1.5422095930376478E-119</v>
      </c>
      <c r="C24" s="111">
        <f t="shared" si="5"/>
        <v>3.1E-7</v>
      </c>
      <c r="D24" s="111">
        <f t="shared" si="1"/>
        <v>16.250756302338207</v>
      </c>
      <c r="E24" s="112">
        <f t="shared" si="2"/>
        <v>3643385897.2844076</v>
      </c>
      <c r="F24" s="120">
        <v>1.4106932168609583E-4</v>
      </c>
      <c r="G24" s="120">
        <f t="shared" si="3"/>
        <v>1.412766101991272E-4</v>
      </c>
      <c r="H24" s="120">
        <v>4.3313862714500087E-4</v>
      </c>
      <c r="I24" s="120">
        <f t="shared" si="4"/>
        <v>1.0309278350515464E-2</v>
      </c>
      <c r="J24" s="120">
        <v>0</v>
      </c>
      <c r="K24" s="120">
        <v>0</v>
      </c>
      <c r="L24" s="120">
        <f t="shared" si="6"/>
        <v>2.414681972112974E-120</v>
      </c>
      <c r="M24" s="107" t="e">
        <f>Toolbox!V14/SUM(Toolbox!V$12:V$108)</f>
        <v>#DIV/0!</v>
      </c>
      <c r="N24" s="108">
        <f t="shared" si="7"/>
        <v>4.3313862714500087E-4</v>
      </c>
    </row>
    <row r="25" spans="1:15">
      <c r="A25" s="103">
        <v>315</v>
      </c>
      <c r="B25" s="110">
        <f t="shared" si="0"/>
        <v>1.385704657361537E-115</v>
      </c>
      <c r="C25" s="111">
        <f t="shared" si="5"/>
        <v>3.15E-7</v>
      </c>
      <c r="D25" s="111">
        <f t="shared" si="1"/>
        <v>15.992807789602677</v>
      </c>
      <c r="E25" s="112">
        <f t="shared" si="2"/>
        <v>4352978278.8220358</v>
      </c>
      <c r="F25" s="120">
        <v>1.6855191019007857E-4</v>
      </c>
      <c r="G25" s="120">
        <f t="shared" si="3"/>
        <v>1.6879189655994947E-4</v>
      </c>
      <c r="H25" s="120">
        <v>1.5468090988272466E-3</v>
      </c>
      <c r="I25" s="120">
        <f t="shared" si="4"/>
        <v>1.0309278350515464E-2</v>
      </c>
      <c r="J25" s="120">
        <v>0</v>
      </c>
      <c r="K25" s="120">
        <v>0</v>
      </c>
      <c r="L25" s="120">
        <f t="shared" si="6"/>
        <v>2.1696376873219248E-116</v>
      </c>
      <c r="M25" s="107" t="e">
        <f>Toolbox!V15/SUM(Toolbox!V$12:V$108)</f>
        <v>#DIV/0!</v>
      </c>
      <c r="N25" s="108">
        <f t="shared" si="7"/>
        <v>1.5468090988272466E-3</v>
      </c>
    </row>
    <row r="26" spans="1:15">
      <c r="A26" s="103">
        <v>320</v>
      </c>
      <c r="B26" s="110">
        <f t="shared" si="0"/>
        <v>1.0673390487205666E-111</v>
      </c>
      <c r="C26" s="111">
        <f t="shared" si="5"/>
        <v>3.2000000000000001E-7</v>
      </c>
      <c r="D26" s="111">
        <f t="shared" si="1"/>
        <v>15.742920167890135</v>
      </c>
      <c r="E26" s="112">
        <f t="shared" si="2"/>
        <v>5165521893.3285189</v>
      </c>
      <c r="F26" s="120">
        <v>2.0002337042437473E-4</v>
      </c>
      <c r="G26" s="120">
        <f t="shared" si="3"/>
        <v>2.0029923910688729E-4</v>
      </c>
      <c r="H26" s="120">
        <v>2.660492717834645E-3</v>
      </c>
      <c r="I26" s="120">
        <f t="shared" si="4"/>
        <v>1.0309278350515464E-2</v>
      </c>
      <c r="J26" s="120">
        <v>0</v>
      </c>
      <c r="K26" s="120">
        <v>0</v>
      </c>
      <c r="L26" s="120">
        <f t="shared" si="6"/>
        <v>1.6711634856332057E-112</v>
      </c>
      <c r="M26" s="107" t="e">
        <f>Toolbox!V16/SUM(Toolbox!V$12:V$108)</f>
        <v>#DIV/0!</v>
      </c>
      <c r="N26" s="108">
        <f t="shared" si="7"/>
        <v>2.660492717834645E-3</v>
      </c>
    </row>
    <row r="27" spans="1:15">
      <c r="A27" s="103">
        <v>325</v>
      </c>
      <c r="B27" s="110">
        <f t="shared" si="0"/>
        <v>7.0475564894931141E-108</v>
      </c>
      <c r="C27" s="111">
        <f t="shared" si="5"/>
        <v>3.2500000000000001E-7</v>
      </c>
      <c r="D27" s="111">
        <f t="shared" si="1"/>
        <v>15.500721396076441</v>
      </c>
      <c r="E27" s="112">
        <f t="shared" si="2"/>
        <v>6090218872.2395086</v>
      </c>
      <c r="F27" s="120">
        <v>2.3584113189542552E-4</v>
      </c>
      <c r="G27" s="120">
        <f t="shared" si="3"/>
        <v>2.3615546140255171E-4</v>
      </c>
      <c r="H27" s="120">
        <v>3.7660118479224181E-3</v>
      </c>
      <c r="I27" s="120">
        <f t="shared" si="4"/>
        <v>1.0309278350515464E-2</v>
      </c>
      <c r="J27" s="120">
        <v>0</v>
      </c>
      <c r="K27" s="120">
        <v>0</v>
      </c>
      <c r="L27" s="120">
        <f t="shared" si="6"/>
        <v>1.1034562149952463E-108</v>
      </c>
      <c r="M27" s="107" t="e">
        <f>Toolbox!V17/SUM(Toolbox!V$12:V$108)</f>
        <v>#DIV/0!</v>
      </c>
      <c r="N27" s="108">
        <f t="shared" si="7"/>
        <v>3.7660118479224181E-3</v>
      </c>
    </row>
    <row r="28" spans="1:15">
      <c r="A28" s="103">
        <v>330</v>
      </c>
      <c r="B28" s="110">
        <f t="shared" si="0"/>
        <v>3.9891390812695542E-104</v>
      </c>
      <c r="C28" s="111">
        <f t="shared" si="5"/>
        <v>3.3000000000000002E-7</v>
      </c>
      <c r="D28" s="111">
        <f t="shared" si="1"/>
        <v>15.265861980984374</v>
      </c>
      <c r="E28" s="112">
        <f t="shared" si="2"/>
        <v>7136383419.954402</v>
      </c>
      <c r="F28" s="120">
        <v>2.7636470218819797E-4</v>
      </c>
      <c r="G28" s="120">
        <f t="shared" si="3"/>
        <v>2.7672173277167148E-4</v>
      </c>
      <c r="H28" s="120">
        <v>4.8715441253353439E-3</v>
      </c>
      <c r="I28" s="120">
        <f t="shared" si="4"/>
        <v>1.0309278350515464E-2</v>
      </c>
      <c r="J28" s="120">
        <v>0</v>
      </c>
      <c r="K28" s="120">
        <v>0</v>
      </c>
      <c r="L28" s="120">
        <f t="shared" si="6"/>
        <v>6.2459099381038278E-105</v>
      </c>
      <c r="M28" s="107" t="e">
        <f>Toolbox!V18/SUM(Toolbox!V$12:V$108)</f>
        <v>#DIV/0!</v>
      </c>
      <c r="N28" s="108">
        <f t="shared" si="7"/>
        <v>4.8715441253353439E-3</v>
      </c>
    </row>
    <row r="29" spans="1:15">
      <c r="A29" s="103">
        <v>335</v>
      </c>
      <c r="B29" s="110">
        <f t="shared" si="0"/>
        <v>1.9356384313155523E-100</v>
      </c>
      <c r="C29" s="111">
        <f t="shared" si="5"/>
        <v>3.3500000000000002E-7</v>
      </c>
      <c r="D29" s="111">
        <f t="shared" si="1"/>
        <v>15.038013294701026</v>
      </c>
      <c r="E29" s="112">
        <f t="shared" si="2"/>
        <v>8313373504.2075691</v>
      </c>
      <c r="F29" s="120">
        <v>3.2195774504471076E-4</v>
      </c>
      <c r="G29" s="120">
        <f t="shared" si="3"/>
        <v>3.2236091951420403E-4</v>
      </c>
      <c r="H29" s="120">
        <v>5.0618648042411269E-3</v>
      </c>
      <c r="I29" s="120">
        <f t="shared" si="4"/>
        <v>1.0309278350515464E-2</v>
      </c>
      <c r="J29" s="120">
        <v>0</v>
      </c>
      <c r="K29" s="120">
        <v>0</v>
      </c>
      <c r="L29" s="120">
        <f t="shared" si="6"/>
        <v>3.0306848341025735E-101</v>
      </c>
      <c r="M29" s="107" t="e">
        <f>Toolbox!V19/SUM(Toolbox!V$12:V$108)</f>
        <v>#DIV/0!</v>
      </c>
      <c r="N29" s="108">
        <f t="shared" si="7"/>
        <v>5.0618648042411269E-3</v>
      </c>
    </row>
    <row r="30" spans="1:15">
      <c r="A30" s="103">
        <v>340</v>
      </c>
      <c r="B30" s="110">
        <f t="shared" si="0"/>
        <v>8.0514433149720439E-97</v>
      </c>
      <c r="C30" s="111">
        <f t="shared" si="5"/>
        <v>3.3999999999999997E-7</v>
      </c>
      <c r="D30" s="111">
        <f t="shared" si="1"/>
        <v>14.81686604036719</v>
      </c>
      <c r="E30" s="112">
        <f t="shared" si="2"/>
        <v>9630521537.9535122</v>
      </c>
      <c r="F30" s="120">
        <v>3.7298184612845673E-4</v>
      </c>
      <c r="G30" s="120">
        <f t="shared" si="3"/>
        <v>3.7343489701320256E-4</v>
      </c>
      <c r="H30" s="120">
        <v>5.2521986304720622E-3</v>
      </c>
      <c r="I30" s="120">
        <f t="shared" si="4"/>
        <v>1.0309278350515464E-2</v>
      </c>
      <c r="J30" s="120">
        <v>0</v>
      </c>
      <c r="K30" s="120">
        <v>0</v>
      </c>
      <c r="L30" s="120">
        <f t="shared" si="6"/>
        <v>1.2606376662369726E-97</v>
      </c>
      <c r="M30" s="107" t="e">
        <f>Toolbox!V20/SUM(Toolbox!V$12:V$108)</f>
        <v>#DIV/0!</v>
      </c>
      <c r="N30" s="108">
        <f t="shared" si="7"/>
        <v>5.2521986304720622E-3</v>
      </c>
    </row>
    <row r="31" spans="1:15">
      <c r="A31" s="103">
        <v>345</v>
      </c>
      <c r="B31" s="110">
        <f t="shared" si="0"/>
        <v>2.8709636150048856E-93</v>
      </c>
      <c r="C31" s="111">
        <f t="shared" si="5"/>
        <v>3.4499999999999998E-7</v>
      </c>
      <c r="D31" s="111">
        <f t="shared" si="1"/>
        <v>14.602128851376362</v>
      </c>
      <c r="E31" s="112">
        <f t="shared" si="2"/>
        <v>11097065032.370735</v>
      </c>
      <c r="F31" s="120">
        <v>4.2979651302440288E-4</v>
      </c>
      <c r="G31" s="120">
        <f t="shared" si="3"/>
        <v>4.3030186072277703E-4</v>
      </c>
      <c r="H31" s="120">
        <v>5.5784363568031009E-3</v>
      </c>
      <c r="I31" s="120">
        <f t="shared" si="4"/>
        <v>1.0309278350515464E-2</v>
      </c>
      <c r="J31" s="120">
        <v>0</v>
      </c>
      <c r="K31" s="120">
        <v>0</v>
      </c>
      <c r="L31" s="120">
        <f t="shared" si="6"/>
        <v>4.4951504095431713E-94</v>
      </c>
      <c r="M31" s="107" t="e">
        <f>Toolbox!V21/SUM(Toolbox!V$12:V$108)</f>
        <v>#DIV/0!</v>
      </c>
      <c r="N31" s="108">
        <f t="shared" si="7"/>
        <v>5.5784363568031009E-3</v>
      </c>
    </row>
    <row r="32" spans="1:15">
      <c r="A32" s="103">
        <v>350</v>
      </c>
      <c r="B32" s="110">
        <f t="shared" si="0"/>
        <v>8.7757871813947614E-90</v>
      </c>
      <c r="C32" s="111">
        <f t="shared" si="5"/>
        <v>3.4999999999999998E-7</v>
      </c>
      <c r="D32" s="111">
        <f t="shared" si="1"/>
        <v>14.39352701064241</v>
      </c>
      <c r="E32" s="112">
        <f t="shared" si="2"/>
        <v>12722078147.695604</v>
      </c>
      <c r="F32" s="120">
        <v>4.9275190196415011E-4</v>
      </c>
      <c r="G32" s="120">
        <f t="shared" si="3"/>
        <v>4.9331367197047807E-4</v>
      </c>
      <c r="H32" s="120">
        <v>5.9046872304592919E-3</v>
      </c>
      <c r="I32" s="120">
        <f t="shared" si="4"/>
        <v>1.0309278350515464E-2</v>
      </c>
      <c r="J32" s="120">
        <v>0</v>
      </c>
      <c r="K32" s="120">
        <v>0</v>
      </c>
      <c r="L32" s="120">
        <f t="shared" si="6"/>
        <v>1.3740502713561296E-90</v>
      </c>
      <c r="M32" s="107" t="e">
        <f>Toolbox!V22/SUM(Toolbox!V$12:V$108)</f>
        <v>#DIV/0!</v>
      </c>
      <c r="N32" s="108">
        <f t="shared" si="7"/>
        <v>5.9046872304592919E-3</v>
      </c>
    </row>
    <row r="33" spans="1:14">
      <c r="A33" s="103">
        <v>355</v>
      </c>
      <c r="B33" s="110">
        <f t="shared" si="0"/>
        <v>2.2995821158316262E-86</v>
      </c>
      <c r="C33" s="111">
        <f t="shared" si="5"/>
        <v>3.5499999999999999E-7</v>
      </c>
      <c r="D33" s="111">
        <f t="shared" si="1"/>
        <v>14.190801278098151</v>
      </c>
      <c r="E33" s="112">
        <f t="shared" si="2"/>
        <v>14514405000.920765</v>
      </c>
      <c r="F33" s="120">
        <v>5.6219297398298485E-4</v>
      </c>
      <c r="G33" s="120">
        <f t="shared" si="3"/>
        <v>5.6281327188418791E-4</v>
      </c>
      <c r="H33" s="120">
        <v>6.0181880884997464E-3</v>
      </c>
      <c r="I33" s="120">
        <f t="shared" si="4"/>
        <v>1.0309278350515464E-2</v>
      </c>
      <c r="J33" s="120">
        <v>0</v>
      </c>
      <c r="K33" s="120">
        <v>0</v>
      </c>
      <c r="L33" s="120">
        <f t="shared" si="6"/>
        <v>3.6005219417387484E-87</v>
      </c>
      <c r="M33" s="107" t="e">
        <f>Toolbox!V23/SUM(Toolbox!V$12:V$108)</f>
        <v>#DIV/0!</v>
      </c>
      <c r="N33" s="108">
        <f t="shared" si="7"/>
        <v>6.0181880884997464E-3</v>
      </c>
    </row>
    <row r="34" spans="1:14">
      <c r="A34" s="103">
        <v>360</v>
      </c>
      <c r="B34" s="110">
        <f t="shared" si="0"/>
        <v>5.1655456921664372E-83</v>
      </c>
      <c r="C34" s="111">
        <f t="shared" si="5"/>
        <v>3.5999999999999999E-7</v>
      </c>
      <c r="D34" s="111">
        <f t="shared" si="1"/>
        <v>13.993706815902344</v>
      </c>
      <c r="E34" s="112">
        <f t="shared" si="2"/>
        <v>16482595510.237005</v>
      </c>
      <c r="F34" s="120">
        <v>6.3845014356651224E-4</v>
      </c>
      <c r="G34" s="120">
        <f t="shared" si="3"/>
        <v>6.3913219368424848E-4</v>
      </c>
      <c r="H34" s="120">
        <v>6.1316889465402018E-3</v>
      </c>
      <c r="I34" s="120">
        <f t="shared" si="4"/>
        <v>1.0309278350515464E-2</v>
      </c>
      <c r="J34" s="120">
        <v>0</v>
      </c>
      <c r="K34" s="120">
        <v>0</v>
      </c>
      <c r="L34" s="120">
        <f t="shared" si="6"/>
        <v>8.0878436467459064E-84</v>
      </c>
      <c r="M34" s="107" t="e">
        <f>Toolbox!V24/SUM(Toolbox!V$12:V$108)</f>
        <v>#DIV/0!</v>
      </c>
      <c r="N34" s="108">
        <f t="shared" si="7"/>
        <v>6.1316889465402018E-3</v>
      </c>
    </row>
    <row r="35" spans="1:14">
      <c r="A35" s="103">
        <v>365</v>
      </c>
      <c r="B35" s="110">
        <f t="shared" si="0"/>
        <v>9.9469042625883723E-80</v>
      </c>
      <c r="C35" s="111">
        <f t="shared" si="5"/>
        <v>3.65E-7</v>
      </c>
      <c r="D35" s="111">
        <f t="shared" si="1"/>
        <v>13.802012201985873</v>
      </c>
      <c r="E35" s="112">
        <f t="shared" si="2"/>
        <v>18634844468.634331</v>
      </c>
      <c r="F35" s="120">
        <v>7.2184135672918317E-4</v>
      </c>
      <c r="G35" s="120">
        <f t="shared" si="3"/>
        <v>7.2258820019006746E-4</v>
      </c>
      <c r="H35" s="120">
        <v>6.4900061462430355E-3</v>
      </c>
      <c r="I35" s="120">
        <f t="shared" si="4"/>
        <v>1.0309278350515464E-2</v>
      </c>
      <c r="J35" s="120">
        <v>0</v>
      </c>
      <c r="K35" s="120">
        <v>0</v>
      </c>
      <c r="L35" s="120">
        <f t="shared" si="6"/>
        <v>1.5574154453219969E-80</v>
      </c>
      <c r="M35" s="107" t="e">
        <f>Toolbox!V25/SUM(Toolbox!V$12:V$108)</f>
        <v>#DIV/0!</v>
      </c>
      <c r="N35" s="108">
        <f t="shared" si="7"/>
        <v>6.4900061462430355E-3</v>
      </c>
    </row>
    <row r="36" spans="1:14">
      <c r="A36" s="103">
        <v>370</v>
      </c>
      <c r="B36" s="110">
        <f t="shared" si="0"/>
        <v>1.6419658254376285E-76</v>
      </c>
      <c r="C36" s="111">
        <f t="shared" si="5"/>
        <v>3.7E-7</v>
      </c>
      <c r="D36" s="111">
        <f t="shared" si="1"/>
        <v>13.615498523580658</v>
      </c>
      <c r="E36" s="112">
        <f t="shared" si="2"/>
        <v>20978934446.276802</v>
      </c>
      <c r="F36" s="120">
        <v>8.1266897389650468E-4</v>
      </c>
      <c r="G36" s="120">
        <f t="shared" si="3"/>
        <v>8.1348306979196977E-4</v>
      </c>
      <c r="H36" s="120">
        <v>6.8483233459458691E-3</v>
      </c>
      <c r="I36" s="120">
        <f t="shared" si="4"/>
        <v>1.0309278350515464E-2</v>
      </c>
      <c r="J36" s="120">
        <v>0</v>
      </c>
      <c r="K36" s="120">
        <v>0</v>
      </c>
      <c r="L36" s="120">
        <f t="shared" si="6"/>
        <v>2.5708731779449206E-77</v>
      </c>
      <c r="M36" s="107" t="e">
        <f>Toolbox!V26/SUM(Toolbox!V$12:V$108)</f>
        <v>#DIV/0!</v>
      </c>
      <c r="N36" s="108">
        <f t="shared" si="7"/>
        <v>6.8483233459458691E-3</v>
      </c>
    </row>
    <row r="37" spans="1:14">
      <c r="A37" s="103">
        <v>375</v>
      </c>
      <c r="B37" s="110">
        <f t="shared" si="0"/>
        <v>2.3235110119825789E-73</v>
      </c>
      <c r="C37" s="111">
        <f t="shared" si="5"/>
        <v>3.7500000000000001E-7</v>
      </c>
      <c r="D37" s="111">
        <f t="shared" si="1"/>
        <v>13.43395854326625</v>
      </c>
      <c r="E37" s="112">
        <f t="shared" si="2"/>
        <v>23522183025.815765</v>
      </c>
      <c r="F37" s="120">
        <v>9.1121665278725119E-4</v>
      </c>
      <c r="G37" s="120">
        <f t="shared" si="3"/>
        <v>9.1210055043787529E-4</v>
      </c>
      <c r="H37" s="120">
        <v>6.7093824137355674E-3</v>
      </c>
      <c r="I37" s="120">
        <f t="shared" si="4"/>
        <v>1.0309278350515464E-2</v>
      </c>
      <c r="J37" s="120">
        <v>0</v>
      </c>
      <c r="K37" s="120">
        <v>0</v>
      </c>
      <c r="L37" s="120">
        <f t="shared" si="6"/>
        <v>3.6379881035426447E-74</v>
      </c>
      <c r="M37" s="107" t="e">
        <f>Toolbox!V27/SUM(Toolbox!V$12:V$108)</f>
        <v>#DIV/0!</v>
      </c>
      <c r="N37" s="108">
        <f t="shared" si="7"/>
        <v>6.7093824137355674E-3</v>
      </c>
    </row>
    <row r="38" spans="1:14">
      <c r="A38" s="103">
        <v>380</v>
      </c>
      <c r="B38" s="110">
        <f t="shared" si="0"/>
        <v>2.8185763386236487E-70</v>
      </c>
      <c r="C38" s="111">
        <f t="shared" si="5"/>
        <v>3.8000000000000001E-7</v>
      </c>
      <c r="D38" s="111">
        <f t="shared" si="1"/>
        <v>13.257195930854852</v>
      </c>
      <c r="E38" s="112">
        <f t="shared" si="2"/>
        <v>26271394779.0942</v>
      </c>
      <c r="F38" s="120">
        <v>1.0177493484134648E-3</v>
      </c>
      <c r="G38" s="120">
        <f t="shared" si="3"/>
        <v>1.0187044974730409E-3</v>
      </c>
      <c r="H38" s="120">
        <v>6.5704414815252665E-3</v>
      </c>
      <c r="I38" s="120">
        <f t="shared" si="4"/>
        <v>1.0309278350515464E-2</v>
      </c>
      <c r="J38" s="120">
        <v>1.5317802316186359E-3</v>
      </c>
      <c r="K38" s="120">
        <v>0</v>
      </c>
      <c r="L38" s="120">
        <f t="shared" si="6"/>
        <v>4.4131261422730456E-71</v>
      </c>
      <c r="M38" s="107" t="e">
        <f>Toolbox!V28/SUM(Toolbox!V$12:V$108)</f>
        <v>#DIV/0!</v>
      </c>
      <c r="N38" s="108">
        <f t="shared" si="7"/>
        <v>6.5704414815252665E-3</v>
      </c>
    </row>
    <row r="39" spans="1:14">
      <c r="A39" s="103">
        <v>385</v>
      </c>
      <c r="B39" s="110">
        <f t="shared" si="0"/>
        <v>2.9310235904861963E-67</v>
      </c>
      <c r="C39" s="111">
        <f t="shared" si="5"/>
        <v>3.8500000000000002E-7</v>
      </c>
      <c r="D39" s="111">
        <f t="shared" si="1"/>
        <v>13.085024555129463</v>
      </c>
      <c r="E39" s="112">
        <f t="shared" si="2"/>
        <v>29232818299.778412</v>
      </c>
      <c r="F39" s="120">
        <v>1.1325112350019297E-3</v>
      </c>
      <c r="G39" s="120">
        <f t="shared" si="3"/>
        <v>1.1335372075293841E-3</v>
      </c>
      <c r="H39" s="120">
        <v>6.8776024390602084E-3</v>
      </c>
      <c r="I39" s="120">
        <f t="shared" si="4"/>
        <v>1.0309278350515464E-2</v>
      </c>
      <c r="J39" s="120">
        <v>1.0604632372744403E-3</v>
      </c>
      <c r="K39" s="120">
        <v>0</v>
      </c>
      <c r="L39" s="120">
        <f t="shared" si="6"/>
        <v>4.5891880427513885E-68</v>
      </c>
      <c r="M39" s="107" t="e">
        <f>Toolbox!V29/SUM(Toolbox!V$12:V$108)</f>
        <v>#DIV/0!</v>
      </c>
      <c r="N39" s="108">
        <f t="shared" si="7"/>
        <v>6.8776024390602084E-3</v>
      </c>
    </row>
    <row r="40" spans="1:14">
      <c r="A40" s="103">
        <v>390</v>
      </c>
      <c r="B40" s="110">
        <f t="shared" si="0"/>
        <v>2.6128427394375425E-64</v>
      </c>
      <c r="C40" s="111">
        <f t="shared" si="5"/>
        <v>3.9000000000000002E-7</v>
      </c>
      <c r="D40" s="111">
        <f t="shared" si="1"/>
        <v>12.9172678300637</v>
      </c>
      <c r="E40" s="112">
        <f t="shared" si="2"/>
        <v>32412108516.052113</v>
      </c>
      <c r="F40" s="120">
        <v>1.2557101204052278E-3</v>
      </c>
      <c r="G40" s="120">
        <f t="shared" si="3"/>
        <v>1.2568179571554885E-3</v>
      </c>
      <c r="H40" s="120">
        <v>7.1847765439203024E-3</v>
      </c>
      <c r="I40" s="120">
        <f t="shared" si="4"/>
        <v>1.0309278350515464E-2</v>
      </c>
      <c r="J40" s="120">
        <v>7.7430649070832152E-4</v>
      </c>
      <c r="K40" s="120">
        <v>0</v>
      </c>
      <c r="L40" s="120">
        <f t="shared" si="6"/>
        <v>4.0910031213455777E-65</v>
      </c>
      <c r="M40" s="107" t="e">
        <f>Toolbox!V30/SUM(Toolbox!V$12:V$108)</f>
        <v>#DIV/0!</v>
      </c>
      <c r="N40" s="108">
        <f t="shared" si="7"/>
        <v>7.1847765439203024E-3</v>
      </c>
    </row>
    <row r="41" spans="1:14">
      <c r="A41" s="103">
        <v>395</v>
      </c>
      <c r="B41" s="110">
        <f t="shared" si="0"/>
        <v>1.9966947421341626E-61</v>
      </c>
      <c r="C41" s="111">
        <f t="shared" si="5"/>
        <v>3.9499999999999998E-7</v>
      </c>
      <c r="D41" s="111">
        <f t="shared" si="1"/>
        <v>12.753758110695808</v>
      </c>
      <c r="E41" s="112">
        <f t="shared" si="2"/>
        <v>35814294422.015785</v>
      </c>
      <c r="F41" s="120">
        <v>1.3875642028685705E-3</v>
      </c>
      <c r="G41" s="120">
        <f t="shared" si="3"/>
        <v>1.3887417515633345E-3</v>
      </c>
      <c r="H41" s="120">
        <v>9.0324095895590456E-3</v>
      </c>
      <c r="I41" s="120">
        <f t="shared" si="4"/>
        <v>1.0309278350515464E-2</v>
      </c>
      <c r="J41" s="120">
        <v>6.228117425262586E-4</v>
      </c>
      <c r="K41" s="120">
        <v>0</v>
      </c>
      <c r="L41" s="120">
        <f t="shared" si="6"/>
        <v>3.1262824582406993E-62</v>
      </c>
      <c r="M41" s="107" t="e">
        <f>Toolbox!V31/SUM(Toolbox!V$12:V$108)</f>
        <v>#DIV/0!</v>
      </c>
      <c r="N41" s="108">
        <f t="shared" si="7"/>
        <v>9.0324095895590456E-3</v>
      </c>
    </row>
    <row r="42" spans="1:14">
      <c r="A42" s="103">
        <v>400</v>
      </c>
      <c r="B42" s="110">
        <f t="shared" si="0"/>
        <v>1.3080204159694691E-58</v>
      </c>
      <c r="C42" s="111">
        <f t="shared" si="5"/>
        <v>3.9999999999999998E-7</v>
      </c>
      <c r="D42" s="111">
        <f t="shared" si="1"/>
        <v>12.594336134312112</v>
      </c>
      <c r="E42" s="112">
        <f t="shared" si="2"/>
        <v>39443752286.930801</v>
      </c>
      <c r="F42" s="120">
        <v>1.5282189478887649E-3</v>
      </c>
      <c r="G42" s="120">
        <f t="shared" si="3"/>
        <v>1.5294782857849603E-3</v>
      </c>
      <c r="H42" s="120">
        <v>1.0880055782522944E-2</v>
      </c>
      <c r="I42" s="120">
        <f t="shared" si="4"/>
        <v>1.0309278350515464E-2</v>
      </c>
      <c r="J42" s="120">
        <v>2.1714247239429016E-3</v>
      </c>
      <c r="K42" s="120">
        <v>0</v>
      </c>
      <c r="L42" s="120">
        <f t="shared" si="6"/>
        <v>2.0480052334365731E-59</v>
      </c>
      <c r="M42" s="107" t="e">
        <f>Toolbox!V32/SUM(Toolbox!V$12:V$108)</f>
        <v>#DIV/0!</v>
      </c>
      <c r="N42" s="108">
        <f t="shared" si="7"/>
        <v>1.0880055782522944E-2</v>
      </c>
    </row>
    <row r="43" spans="1:14">
      <c r="A43" s="103">
        <v>405</v>
      </c>
      <c r="B43" s="110">
        <f t="shared" si="0"/>
        <v>7.3455076668717124E-56</v>
      </c>
      <c r="C43" s="111">
        <f t="shared" si="5"/>
        <v>4.0499999999999999E-7</v>
      </c>
      <c r="D43" s="111">
        <f t="shared" si="1"/>
        <v>12.438850503024305</v>
      </c>
      <c r="E43" s="112">
        <f t="shared" si="2"/>
        <v>43304184328.725128</v>
      </c>
      <c r="F43" s="120">
        <v>1.6778406017478771E-3</v>
      </c>
      <c r="G43" s="120">
        <f t="shared" si="3"/>
        <v>1.6791711177123448E-3</v>
      </c>
      <c r="H43" s="120">
        <v>1.1454002262049881E-2</v>
      </c>
      <c r="I43" s="120">
        <f t="shared" si="4"/>
        <v>1.0309278350515464E-2</v>
      </c>
      <c r="J43" s="120">
        <v>2.1343926743872862E-2</v>
      </c>
      <c r="K43" s="120">
        <v>1.5243474878143661E-5</v>
      </c>
      <c r="L43" s="120">
        <f t="shared" si="6"/>
        <v>1.1501072888722311E-56</v>
      </c>
      <c r="M43" s="107" t="e">
        <f>Toolbox!V33/SUM(Toolbox!V$12:V$108)</f>
        <v>#DIV/0!</v>
      </c>
      <c r="N43" s="108">
        <f t="shared" si="7"/>
        <v>1.1454002262049881E-2</v>
      </c>
    </row>
    <row r="44" spans="1:14">
      <c r="A44" s="103">
        <v>410</v>
      </c>
      <c r="B44" s="110">
        <f t="shared" si="0"/>
        <v>3.5361734208103047E-53</v>
      </c>
      <c r="C44" s="111">
        <f t="shared" si="5"/>
        <v>4.0999999999999999E-7</v>
      </c>
      <c r="D44" s="111">
        <f t="shared" si="1"/>
        <v>12.287157204206938</v>
      </c>
      <c r="E44" s="112">
        <f t="shared" si="2"/>
        <v>47398602772.761612</v>
      </c>
      <c r="F44" s="120">
        <v>1.8365330683721979E-3</v>
      </c>
      <c r="G44" s="120">
        <f t="shared" si="3"/>
        <v>1.8379370499572389E-3</v>
      </c>
      <c r="H44" s="120">
        <v>1.2027961888901973E-2</v>
      </c>
      <c r="I44" s="120">
        <f t="shared" si="4"/>
        <v>1.0309278350515464E-2</v>
      </c>
      <c r="J44" s="120">
        <v>2.6764072178831113E-3</v>
      </c>
      <c r="K44" s="120">
        <v>3.6462391908519632E-5</v>
      </c>
      <c r="L44" s="120">
        <f t="shared" si="6"/>
        <v>5.5366885590934487E-54</v>
      </c>
      <c r="M44" s="107" t="e">
        <f>Toolbox!V34/SUM(Toolbox!V$12:V$108)</f>
        <v>#DIV/0!</v>
      </c>
      <c r="N44" s="108">
        <f t="shared" si="7"/>
        <v>1.2027961888901973E-2</v>
      </c>
    </row>
    <row r="45" spans="1:14">
      <c r="A45" s="103">
        <v>415</v>
      </c>
      <c r="B45" s="110">
        <f t="shared" si="0"/>
        <v>1.4593173304254734E-50</v>
      </c>
      <c r="C45" s="111">
        <f t="shared" si="5"/>
        <v>4.15E-7</v>
      </c>
      <c r="D45" s="111">
        <f t="shared" si="1"/>
        <v>12.139119165602033</v>
      </c>
      <c r="E45" s="112">
        <f t="shared" si="2"/>
        <v>51729319159.060585</v>
      </c>
      <c r="F45" s="120">
        <v>2.0043794709027605E-3</v>
      </c>
      <c r="G45" s="120">
        <f t="shared" si="3"/>
        <v>2.0058657152260372E-3</v>
      </c>
      <c r="H45" s="120">
        <v>1.2155872215309432E-2</v>
      </c>
      <c r="I45" s="120">
        <f t="shared" si="4"/>
        <v>1.0309278350515464E-2</v>
      </c>
      <c r="J45" s="120">
        <v>3.0130622138432508E-3</v>
      </c>
      <c r="K45" s="120">
        <v>8.804631089615778E-5</v>
      </c>
      <c r="L45" s="120">
        <f t="shared" si="6"/>
        <v>2.2848951694235775E-51</v>
      </c>
      <c r="M45" s="107" t="e">
        <f>Toolbox!V35/SUM(Toolbox!V$12:V$108)</f>
        <v>#DIV/0!</v>
      </c>
      <c r="N45" s="108">
        <f t="shared" si="7"/>
        <v>1.2155872215309432E-2</v>
      </c>
    </row>
    <row r="46" spans="1:14">
      <c r="A46" s="103">
        <v>420</v>
      </c>
      <c r="B46" s="110">
        <f t="shared" si="0"/>
        <v>5.1626225020804281E-48</v>
      </c>
      <c r="C46" s="111">
        <f t="shared" si="5"/>
        <v>4.2E-7</v>
      </c>
      <c r="D46" s="111">
        <f t="shared" si="1"/>
        <v>11.994605842202009</v>
      </c>
      <c r="E46" s="112">
        <f t="shared" si="2"/>
        <v>56297938711.044182</v>
      </c>
      <c r="F46" s="120">
        <v>2.181462932480597E-3</v>
      </c>
      <c r="G46" s="120">
        <f t="shared" si="3"/>
        <v>2.1830193579611573E-3</v>
      </c>
      <c r="H46" s="120">
        <v>1.2283782541716888E-2</v>
      </c>
      <c r="I46" s="120">
        <f t="shared" si="4"/>
        <v>1.0309278350515464E-2</v>
      </c>
      <c r="J46" s="120">
        <v>4.1408564503097193E-3</v>
      </c>
      <c r="K46" s="120">
        <v>2.1426228288718728E-4</v>
      </c>
      <c r="L46" s="120">
        <f t="shared" si="6"/>
        <v>8.0832667238467033E-49</v>
      </c>
      <c r="M46" s="107" t="e">
        <f>Toolbox!V36/SUM(Toolbox!V$12:V$108)</f>
        <v>#DIV/0!</v>
      </c>
      <c r="N46" s="108">
        <f t="shared" si="7"/>
        <v>1.2283782541716888E-2</v>
      </c>
    </row>
    <row r="47" spans="1:14">
      <c r="A47" s="103">
        <v>425</v>
      </c>
      <c r="B47" s="110">
        <f t="shared" si="0"/>
        <v>1.5656527507905107E-45</v>
      </c>
      <c r="C47" s="111">
        <f t="shared" si="5"/>
        <v>4.2500000000000001E-7</v>
      </c>
      <c r="D47" s="111">
        <f t="shared" si="1"/>
        <v>11.85349283229375</v>
      </c>
      <c r="E47" s="112">
        <f t="shared" si="2"/>
        <v>61105359536.381783</v>
      </c>
      <c r="F47" s="120">
        <v>2.3677938434983371E-3</v>
      </c>
      <c r="G47" s="120">
        <f t="shared" si="3"/>
        <v>2.3694328033528763E-3</v>
      </c>
      <c r="H47" s="120">
        <v>1.1840086612474531E-2</v>
      </c>
      <c r="I47" s="120">
        <f t="shared" si="4"/>
        <v>1.0309278350515464E-2</v>
      </c>
      <c r="J47" s="120">
        <v>5.6053056827363272E-3</v>
      </c>
      <c r="K47" s="120">
        <v>5.2218047542568918E-4</v>
      </c>
      <c r="L47" s="120">
        <f t="shared" si="6"/>
        <v>2.4513875993187677E-46</v>
      </c>
      <c r="M47" s="107" t="e">
        <f>Toolbox!V37/SUM(Toolbox!V$12:V$108)</f>
        <v>#DIV/0!</v>
      </c>
      <c r="N47" s="108">
        <f t="shared" si="7"/>
        <v>1.1840086612474531E-2</v>
      </c>
    </row>
    <row r="48" spans="1:14">
      <c r="A48" s="103">
        <v>430</v>
      </c>
      <c r="B48" s="110">
        <f t="shared" si="0"/>
        <v>4.0702863748913954E-43</v>
      </c>
      <c r="C48" s="111">
        <f t="shared" si="5"/>
        <v>4.3000000000000001E-7</v>
      </c>
      <c r="D48" s="111">
        <f t="shared" si="1"/>
        <v>11.715661520290334</v>
      </c>
      <c r="E48" s="112">
        <f t="shared" si="2"/>
        <v>66151776395.403885</v>
      </c>
      <c r="F48" s="120">
        <v>2.5634033751338681E-3</v>
      </c>
      <c r="G48" s="120">
        <f t="shared" si="3"/>
        <v>2.5651136034640473E-3</v>
      </c>
      <c r="H48" s="120">
        <v>1.1396403830557325E-2</v>
      </c>
      <c r="I48" s="120">
        <f t="shared" si="4"/>
        <v>1.0309278350515464E-2</v>
      </c>
      <c r="J48" s="120">
        <v>7.5579046593051381E-3</v>
      </c>
      <c r="K48" s="120">
        <v>1.2583793381405154E-3</v>
      </c>
      <c r="L48" s="120">
        <f t="shared" si="6"/>
        <v>6.3729645925937352E-44</v>
      </c>
      <c r="M48" s="107" t="e">
        <f>Toolbox!V38/SUM(Toolbox!V$12:V$108)</f>
        <v>#DIV/0!</v>
      </c>
      <c r="N48" s="108">
        <f t="shared" si="7"/>
        <v>1.1396403830557325E-2</v>
      </c>
    </row>
    <row r="49" spans="1:14">
      <c r="A49" s="103">
        <v>435</v>
      </c>
      <c r="B49" s="110">
        <f t="shared" si="0"/>
        <v>9.0710786468819579E-41</v>
      </c>
      <c r="C49" s="111">
        <f t="shared" si="5"/>
        <v>4.3500000000000002E-7</v>
      </c>
      <c r="D49" s="111">
        <f t="shared" si="1"/>
        <v>11.580998744195044</v>
      </c>
      <c r="E49" s="112">
        <f t="shared" si="2"/>
        <v>71436688744.529449</v>
      </c>
      <c r="F49" s="120">
        <v>2.7682603562093023E-3</v>
      </c>
      <c r="G49" s="120">
        <f t="shared" si="3"/>
        <v>2.7700423491235364E-3</v>
      </c>
      <c r="H49" s="120">
        <v>1.2591666602135213E-2</v>
      </c>
      <c r="I49" s="120">
        <f t="shared" si="4"/>
        <v>1.0309278350515464E-2</v>
      </c>
      <c r="J49" s="120">
        <v>5.7130352814435716E-2</v>
      </c>
      <c r="K49" s="120">
        <v>2.9357713137314438E-3</v>
      </c>
      <c r="L49" s="120">
        <f t="shared" si="6"/>
        <v>1.4202849064828835E-41</v>
      </c>
      <c r="M49" s="107" t="e">
        <f>Toolbox!V39/SUM(Toolbox!V$12:V$108)</f>
        <v>#DIV/0!</v>
      </c>
      <c r="N49" s="108">
        <f t="shared" si="7"/>
        <v>1.2591666602135213E-2</v>
      </c>
    </row>
    <row r="50" spans="1:14">
      <c r="A50" s="103">
        <v>440</v>
      </c>
      <c r="B50" s="110">
        <f t="shared" si="0"/>
        <v>1.7329951365169102E-38</v>
      </c>
      <c r="C50" s="111">
        <f t="shared" si="5"/>
        <v>4.4000000000000002E-7</v>
      </c>
      <c r="D50" s="111">
        <f t="shared" si="1"/>
        <v>11.44939648573828</v>
      </c>
      <c r="E50" s="112">
        <f t="shared" si="2"/>
        <v>76958912740.760117</v>
      </c>
      <c r="F50" s="120">
        <v>2.9823232251541239E-3</v>
      </c>
      <c r="G50" s="120">
        <f t="shared" si="3"/>
        <v>2.9841731354147273E-3</v>
      </c>
      <c r="H50" s="120">
        <v>1.3786942521038249E-2</v>
      </c>
      <c r="I50" s="120">
        <f t="shared" si="4"/>
        <v>1.0309278350515464E-2</v>
      </c>
      <c r="J50" s="120">
        <v>2.0418125504982478E-2</v>
      </c>
      <c r="K50" s="120">
        <v>6.4438436482879124E-3</v>
      </c>
      <c r="L50" s="120">
        <f t="shared" si="6"/>
        <v>2.7134003917486278E-39</v>
      </c>
      <c r="M50" s="107" t="e">
        <f>Toolbox!V40/SUM(Toolbox!V$12:V$108)</f>
        <v>#DIV/0!</v>
      </c>
      <c r="N50" s="108">
        <f t="shared" si="7"/>
        <v>1.3786942521038249E-2</v>
      </c>
    </row>
    <row r="51" spans="1:14">
      <c r="A51" s="103">
        <v>445</v>
      </c>
      <c r="B51" s="110">
        <f t="shared" si="0"/>
        <v>2.838181735427693E-36</v>
      </c>
      <c r="C51" s="111">
        <f t="shared" si="5"/>
        <v>4.4499999999999997E-7</v>
      </c>
      <c r="D51" s="111">
        <f t="shared" si="1"/>
        <v>11.320751581404144</v>
      </c>
      <c r="E51" s="112">
        <f t="shared" si="2"/>
        <v>82716596878.078964</v>
      </c>
      <c r="F51" s="120">
        <v>3.2055192492199285E-3</v>
      </c>
      <c r="G51" s="120">
        <f t="shared" si="3"/>
        <v>3.2074341679954317E-3</v>
      </c>
      <c r="H51" s="120">
        <v>1.4585116631038949E-2</v>
      </c>
      <c r="I51" s="120">
        <f t="shared" si="4"/>
        <v>1.0309278350515464E-2</v>
      </c>
      <c r="J51" s="120">
        <v>1.1698761109614857E-2</v>
      </c>
      <c r="K51" s="120">
        <v>1.2877199785859663E-2</v>
      </c>
      <c r="L51" s="120">
        <f t="shared" si="6"/>
        <v>4.4438228766420758E-37</v>
      </c>
      <c r="M51" s="107" t="e">
        <f>Toolbox!V41/SUM(Toolbox!V$12:V$108)</f>
        <v>#DIV/0!</v>
      </c>
      <c r="N51" s="108">
        <f t="shared" si="7"/>
        <v>1.4585116631038949E-2</v>
      </c>
    </row>
    <row r="52" spans="1:14">
      <c r="A52" s="103">
        <v>450</v>
      </c>
      <c r="B52" s="110">
        <f t="shared" si="0"/>
        <v>3.9846254391426519E-34</v>
      </c>
      <c r="C52" s="111">
        <f t="shared" si="5"/>
        <v>4.4999999999999998E-7</v>
      </c>
      <c r="D52" s="111">
        <f t="shared" si="1"/>
        <v>11.194965452721876</v>
      </c>
      <c r="E52" s="112">
        <f t="shared" si="2"/>
        <v>88707240917.019226</v>
      </c>
      <c r="F52" s="120">
        <v>3.4377549148730548E-3</v>
      </c>
      <c r="G52" s="120">
        <f t="shared" si="3"/>
        <v>3.4397284971143718E-3</v>
      </c>
      <c r="H52" s="120">
        <v>1.5383422214291171E-2</v>
      </c>
      <c r="I52" s="120">
        <f t="shared" si="4"/>
        <v>1.0309278350515464E-2</v>
      </c>
      <c r="J52" s="120">
        <v>1.2102747104767025E-2</v>
      </c>
      <c r="K52" s="120">
        <v>2.262180451036129E-2</v>
      </c>
      <c r="L52" s="120">
        <f t="shared" si="6"/>
        <v>6.2388427986426263E-35</v>
      </c>
      <c r="M52" s="107" t="e">
        <f>Toolbox!V42/SUM(Toolbox!V$12:V$108)</f>
        <v>#DIV/0!</v>
      </c>
      <c r="N52" s="108">
        <f t="shared" si="7"/>
        <v>1.5383422214291171E-2</v>
      </c>
    </row>
    <row r="53" spans="1:14">
      <c r="A53" s="103">
        <v>455</v>
      </c>
      <c r="B53" s="110">
        <f t="shared" si="0"/>
        <v>4.7955591392710151E-32</v>
      </c>
      <c r="C53" s="111">
        <f t="shared" si="5"/>
        <v>4.5499999999999998E-7</v>
      </c>
      <c r="D53" s="111">
        <f t="shared" si="1"/>
        <v>11.071943854340317</v>
      </c>
      <c r="E53" s="112">
        <f t="shared" si="2"/>
        <v>94927717764.173248</v>
      </c>
      <c r="F53" s="120">
        <v>3.6789055374019525E-3</v>
      </c>
      <c r="G53" s="120">
        <f t="shared" si="3"/>
        <v>3.6809348660150946E-3</v>
      </c>
      <c r="H53" s="120">
        <v>1.5436274461403719E-2</v>
      </c>
      <c r="I53" s="120">
        <f t="shared" si="4"/>
        <v>1.0309278350515464E-2</v>
      </c>
      <c r="J53" s="120">
        <v>1.1984917856180976E-2</v>
      </c>
      <c r="K53" s="120">
        <v>3.3710273980120067E-2</v>
      </c>
      <c r="L53" s="120">
        <f t="shared" si="6"/>
        <v>7.508545046066674E-33</v>
      </c>
      <c r="M53" s="107" t="e">
        <f>Toolbox!V43/SUM(Toolbox!V$12:V$108)</f>
        <v>#DIV/0!</v>
      </c>
      <c r="N53" s="108">
        <f t="shared" si="7"/>
        <v>1.5436274461403719E-2</v>
      </c>
    </row>
    <row r="54" spans="1:14">
      <c r="A54" s="103">
        <v>460</v>
      </c>
      <c r="B54" s="110">
        <f t="shared" ref="B54:B85" si="8">EXP(-(((A54-$C$15)/($C$16/2))^2*LN(2)))</f>
        <v>4.9476098371151186E-30</v>
      </c>
      <c r="C54" s="111">
        <f t="shared" si="5"/>
        <v>4.5999999999999999E-7</v>
      </c>
      <c r="D54" s="111">
        <f t="shared" ref="D54:D85" si="9">$H$15*H$16/($H$17*$C54*$H$18)</f>
        <v>10.951596638532271</v>
      </c>
      <c r="E54" s="112">
        <f t="shared" ref="E54:E85" si="10">(2*H$15*(H$16^2))/((C54^5))*(1/(EXP(D54)-1))</f>
        <v>101374297958.46962</v>
      </c>
      <c r="F54" s="120">
        <v>3.9288256513098155E-3</v>
      </c>
      <c r="G54" s="120">
        <f t="shared" si="3"/>
        <v>3.9309086604204166E-3</v>
      </c>
      <c r="H54" s="120">
        <v>1.5489126708516267E-2</v>
      </c>
      <c r="I54" s="120">
        <f t="shared" ref="I54:I85" si="11">1/97</f>
        <v>1.0309278350515464E-2</v>
      </c>
      <c r="J54" s="120">
        <v>1.1311607864260696E-2</v>
      </c>
      <c r="K54" s="120">
        <v>4.1170064742086496E-2</v>
      </c>
      <c r="L54" s="120">
        <f t="shared" si="6"/>
        <v>7.7466152024117526E-31</v>
      </c>
      <c r="M54" s="107" t="e">
        <f>Toolbox!V44/SUM(Toolbox!V$12:V$108)</f>
        <v>#DIV/0!</v>
      </c>
      <c r="N54" s="108">
        <f t="shared" si="7"/>
        <v>1.5489126708516267E-2</v>
      </c>
    </row>
    <row r="55" spans="1:14">
      <c r="A55" s="103">
        <v>465</v>
      </c>
      <c r="B55" s="110">
        <f t="shared" si="8"/>
        <v>4.375786085737455E-28</v>
      </c>
      <c r="C55" s="111">
        <f t="shared" si="5"/>
        <v>4.6499999999999999E-7</v>
      </c>
      <c r="D55" s="111">
        <f t="shared" si="9"/>
        <v>10.833837534892137</v>
      </c>
      <c r="E55" s="112">
        <f t="shared" si="10"/>
        <v>108042676425.06058</v>
      </c>
      <c r="F55" s="120">
        <v>4.1873490103145772E-3</v>
      </c>
      <c r="G55" s="120">
        <f t="shared" si="3"/>
        <v>4.189482945946143E-3</v>
      </c>
      <c r="H55" s="120">
        <v>1.5295203662518733E-2</v>
      </c>
      <c r="I55" s="120">
        <f t="shared" si="11"/>
        <v>1.0309278350515464E-2</v>
      </c>
      <c r="J55" s="120">
        <v>1.0318475626178283E-2</v>
      </c>
      <c r="K55" s="120">
        <v>4.0144849595682069E-2</v>
      </c>
      <c r="L55" s="120">
        <f t="shared" si="6"/>
        <v>6.8512942875949896E-29</v>
      </c>
      <c r="M55" s="107" t="e">
        <f>Toolbox!V45/SUM(Toolbox!V$12:V$108)</f>
        <v>#DIV/0!</v>
      </c>
      <c r="N55" s="108">
        <f t="shared" si="7"/>
        <v>1.5295203662518733E-2</v>
      </c>
    </row>
    <row r="56" spans="1:14">
      <c r="A56" s="103">
        <v>470</v>
      </c>
      <c r="B56" s="110">
        <f t="shared" si="8"/>
        <v>3.317578187851607E-26</v>
      </c>
      <c r="C56" s="111">
        <f t="shared" si="5"/>
        <v>4.7E-7</v>
      </c>
      <c r="D56" s="111">
        <f t="shared" si="9"/>
        <v>10.718583944095412</v>
      </c>
      <c r="E56" s="112">
        <f t="shared" si="10"/>
        <v>114928001165.11612</v>
      </c>
      <c r="F56" s="120">
        <v>4.4542885873489141E-3</v>
      </c>
      <c r="G56" s="120">
        <f t="shared" si="3"/>
        <v>4.456469580581871E-3</v>
      </c>
      <c r="H56" s="120">
        <v>1.5101149143269675E-2</v>
      </c>
      <c r="I56" s="120">
        <f t="shared" si="11"/>
        <v>1.0309278350515464E-2</v>
      </c>
      <c r="J56" s="120">
        <v>9.1906813897118158E-3</v>
      </c>
      <c r="K56" s="120">
        <v>3.1275098381386861E-2</v>
      </c>
      <c r="L56" s="120">
        <f t="shared" si="6"/>
        <v>5.1944277077810567E-27</v>
      </c>
      <c r="M56" s="107" t="e">
        <f>Toolbox!V46/SUM(Toolbox!V$12:V$108)</f>
        <v>#DIV/0!</v>
      </c>
      <c r="N56" s="108">
        <f t="shared" si="7"/>
        <v>1.5101149143269675E-2</v>
      </c>
    </row>
    <row r="57" spans="1:14">
      <c r="A57" s="103">
        <v>475</v>
      </c>
      <c r="B57" s="110">
        <f t="shared" si="8"/>
        <v>2.1562082155240834E-24</v>
      </c>
      <c r="C57" s="111">
        <f t="shared" si="5"/>
        <v>4.75E-7</v>
      </c>
      <c r="D57" s="111">
        <f t="shared" si="9"/>
        <v>10.605756744683884</v>
      </c>
      <c r="E57" s="112">
        <f t="shared" si="10"/>
        <v>122024903560.19244</v>
      </c>
      <c r="F57" s="120">
        <v>4.7294365745602441E-3</v>
      </c>
      <c r="G57" s="120">
        <f t="shared" si="3"/>
        <v>4.7316603897788198E-3</v>
      </c>
      <c r="H57" s="120">
        <v>1.5170961439828786E-2</v>
      </c>
      <c r="I57" s="120">
        <f t="shared" si="11"/>
        <v>1.0309278350515464E-2</v>
      </c>
      <c r="J57" s="120">
        <v>8.0628871532453482E-3</v>
      </c>
      <c r="K57" s="120">
        <v>2.059076391759743E-2</v>
      </c>
      <c r="L57" s="120">
        <f t="shared" si="6"/>
        <v>3.3760372971696267E-25</v>
      </c>
      <c r="M57" s="107" t="e">
        <f>Toolbox!V47/SUM(Toolbox!V$12:V$108)</f>
        <v>#DIV/0!</v>
      </c>
      <c r="N57" s="108">
        <f t="shared" si="7"/>
        <v>1.5170961439828786E-2</v>
      </c>
    </row>
    <row r="58" spans="1:14">
      <c r="A58" s="103">
        <v>480</v>
      </c>
      <c r="B58" s="110">
        <f t="shared" si="8"/>
        <v>1.2013364970292731E-22</v>
      </c>
      <c r="C58" s="111">
        <f t="shared" si="5"/>
        <v>4.7999999999999996E-7</v>
      </c>
      <c r="D58" s="111">
        <f t="shared" si="9"/>
        <v>10.495280111926759</v>
      </c>
      <c r="E58" s="112">
        <f t="shared" si="10"/>
        <v>129327529982.61369</v>
      </c>
      <c r="F58" s="120">
        <v>5.0125643833107266E-3</v>
      </c>
      <c r="G58" s="120">
        <f t="shared" si="3"/>
        <v>5.0148283921798899E-3</v>
      </c>
      <c r="H58" s="120">
        <v>1.5240773736387899E-2</v>
      </c>
      <c r="I58" s="120">
        <f t="shared" si="11"/>
        <v>1.0309278350515464E-2</v>
      </c>
      <c r="J58" s="120">
        <v>9.5273363856719553E-3</v>
      </c>
      <c r="K58" s="120">
        <v>1.2944027179725445E-2</v>
      </c>
      <c r="L58" s="120">
        <f t="shared" si="6"/>
        <v>1.8809671492862531E-23</v>
      </c>
      <c r="M58" s="107" t="e">
        <f>Toolbox!V48/SUM(Toolbox!V$12:V$108)</f>
        <v>#DIV/0!</v>
      </c>
      <c r="N58" s="108">
        <f t="shared" si="7"/>
        <v>1.5240773736387899E-2</v>
      </c>
    </row>
    <row r="59" spans="1:14">
      <c r="A59" s="103">
        <v>485</v>
      </c>
      <c r="B59" s="110">
        <f t="shared" si="8"/>
        <v>5.7377694200335772E-21</v>
      </c>
      <c r="C59" s="111">
        <f t="shared" si="5"/>
        <v>4.8500000000000002E-7</v>
      </c>
      <c r="D59" s="111">
        <f t="shared" si="9"/>
        <v>10.387081347886276</v>
      </c>
      <c r="E59" s="112">
        <f t="shared" si="10"/>
        <v>136829574418.04689</v>
      </c>
      <c r="F59" s="120">
        <v>5.3034434249625215E-3</v>
      </c>
      <c r="G59" s="120">
        <f t="shared" si="3"/>
        <v>5.3057290645986948E-3</v>
      </c>
      <c r="H59" s="120">
        <v>1.4773254853969438E-2</v>
      </c>
      <c r="I59" s="120">
        <f t="shared" si="11"/>
        <v>1.0309278350515464E-2</v>
      </c>
      <c r="J59" s="120">
        <v>2.4053999461351984E-2</v>
      </c>
      <c r="K59" s="120">
        <v>1.0062400688761167E-2</v>
      </c>
      <c r="L59" s="120">
        <f t="shared" si="6"/>
        <v>8.9837908162706993E-22</v>
      </c>
      <c r="M59" s="107" t="e">
        <f>Toolbox!V49/SUM(Toolbox!V$12:V$108)</f>
        <v>#DIV/0!</v>
      </c>
      <c r="N59" s="108">
        <f t="shared" si="7"/>
        <v>1.4773254853969438E-2</v>
      </c>
    </row>
    <row r="60" spans="1:14">
      <c r="A60" s="103">
        <v>490</v>
      </c>
      <c r="B60" s="110">
        <f t="shared" si="8"/>
        <v>2.3492322665667714E-19</v>
      </c>
      <c r="C60" s="111">
        <f t="shared" si="5"/>
        <v>4.8999999999999997E-7</v>
      </c>
      <c r="D60" s="111">
        <f t="shared" si="9"/>
        <v>10.281090721887436</v>
      </c>
      <c r="E60" s="112">
        <f t="shared" si="10"/>
        <v>144524311822.72546</v>
      </c>
      <c r="F60" s="120">
        <v>5.6017931589146426E-3</v>
      </c>
      <c r="G60" s="120">
        <f t="shared" si="3"/>
        <v>5.6041016354854839E-3</v>
      </c>
      <c r="H60" s="120">
        <v>1.4305735971550977E-2</v>
      </c>
      <c r="I60" s="120">
        <f t="shared" si="11"/>
        <v>1.0309278350515464E-2</v>
      </c>
      <c r="J60" s="120">
        <v>2.5181793697818457E-2</v>
      </c>
      <c r="K60" s="120">
        <v>8.7413401819217244E-3</v>
      </c>
      <c r="L60" s="120">
        <f t="shared" si="6"/>
        <v>3.6782606125615021E-20</v>
      </c>
      <c r="M60" s="107" t="e">
        <f>Toolbox!V50/SUM(Toolbox!V$12:V$108)</f>
        <v>#DIV/0!</v>
      </c>
      <c r="N60" s="108">
        <f t="shared" si="7"/>
        <v>1.4305735971550977E-2</v>
      </c>
    </row>
    <row r="61" spans="1:14">
      <c r="A61" s="103">
        <v>495</v>
      </c>
      <c r="B61" s="110">
        <f t="shared" si="8"/>
        <v>8.2454292258401973E-18</v>
      </c>
      <c r="C61" s="111">
        <f t="shared" si="5"/>
        <v>4.9500000000000003E-7</v>
      </c>
      <c r="D61" s="111">
        <f t="shared" si="9"/>
        <v>10.177241320656249</v>
      </c>
      <c r="E61" s="112">
        <f t="shared" si="10"/>
        <v>152404631955.16757</v>
      </c>
      <c r="F61" s="120">
        <v>5.9073434349587338E-3</v>
      </c>
      <c r="G61" s="120">
        <f t="shared" si="3"/>
        <v>5.9096703967921457E-3</v>
      </c>
      <c r="H61" s="120">
        <v>1.4341496695965437E-2</v>
      </c>
      <c r="I61" s="120">
        <f t="shared" si="11"/>
        <v>1.0309278350515464E-2</v>
      </c>
      <c r="J61" s="120">
        <v>1.509897656881227E-2</v>
      </c>
      <c r="K61" s="120">
        <v>8.0336771041787849E-3</v>
      </c>
      <c r="L61" s="120">
        <f t="shared" si="6"/>
        <v>1.2910105989389811E-18</v>
      </c>
      <c r="M61" s="107" t="e">
        <f>Toolbox!V51/SUM(Toolbox!V$12:V$108)</f>
        <v>#DIV/0!</v>
      </c>
      <c r="N61" s="108">
        <f t="shared" si="7"/>
        <v>1.4341496695965437E-2</v>
      </c>
    </row>
    <row r="62" spans="1:14">
      <c r="A62" s="103">
        <v>500</v>
      </c>
      <c r="B62" s="110">
        <f t="shared" si="8"/>
        <v>2.480875811610649E-16</v>
      </c>
      <c r="C62" s="111">
        <f t="shared" si="5"/>
        <v>4.9999999999999998E-7</v>
      </c>
      <c r="D62" s="111">
        <f t="shared" si="9"/>
        <v>10.075468907449688</v>
      </c>
      <c r="E62" s="112">
        <f t="shared" si="10"/>
        <v>160463073440.45309</v>
      </c>
      <c r="F62" s="120">
        <v>6.2198033221011794E-3</v>
      </c>
      <c r="G62" s="120">
        <f t="shared" si="3"/>
        <v>6.222146024854964E-3</v>
      </c>
      <c r="H62" s="120">
        <v>1.4377125947128373E-2</v>
      </c>
      <c r="I62" s="120">
        <f t="shared" si="11"/>
        <v>1.0309278350515464E-2</v>
      </c>
      <c r="J62" s="120">
        <v>7.9450579046592973E-3</v>
      </c>
      <c r="K62" s="120">
        <v>9.1986444282660344E-3</v>
      </c>
      <c r="L62" s="120">
        <f t="shared" si="6"/>
        <v>3.8843787020854948E-17</v>
      </c>
      <c r="M62" s="107" t="e">
        <f>Toolbox!V52/SUM(Toolbox!V$12:V$108)</f>
        <v>#DIV/0!</v>
      </c>
      <c r="N62" s="108">
        <f t="shared" si="7"/>
        <v>1.4377125947128373E-2</v>
      </c>
    </row>
    <row r="63" spans="1:14">
      <c r="A63" s="103">
        <v>505</v>
      </c>
      <c r="B63" s="110">
        <f t="shared" si="8"/>
        <v>6.3988396419046421E-15</v>
      </c>
      <c r="C63" s="111">
        <f t="shared" si="5"/>
        <v>5.0500000000000004E-7</v>
      </c>
      <c r="D63" s="111">
        <f t="shared" si="9"/>
        <v>9.9757117895541469</v>
      </c>
      <c r="E63" s="112">
        <f t="shared" si="10"/>
        <v>168691857843.78973</v>
      </c>
      <c r="F63" s="120">
        <v>6.5388818893483648E-3</v>
      </c>
      <c r="G63" s="120">
        <f t="shared" si="3"/>
        <v>6.5412269016375578E-3</v>
      </c>
      <c r="H63" s="120">
        <v>1.4275102703945941E-2</v>
      </c>
      <c r="I63" s="120">
        <f t="shared" si="11"/>
        <v>1.0309278350515464E-2</v>
      </c>
      <c r="J63" s="120">
        <v>3.9220307029356281E-3</v>
      </c>
      <c r="K63" s="120">
        <v>1.0620433817100251E-2</v>
      </c>
      <c r="L63" s="120">
        <f t="shared" si="6"/>
        <v>1.0018847500043913E-15</v>
      </c>
      <c r="M63" s="107" t="e">
        <f>Toolbox!V53/SUM(Toolbox!V$12:V$108)</f>
        <v>#DIV/0!</v>
      </c>
      <c r="N63" s="108">
        <f t="shared" si="7"/>
        <v>1.4275102703945941E-2</v>
      </c>
    </row>
    <row r="64" spans="1:14">
      <c r="A64" s="103">
        <v>510</v>
      </c>
      <c r="B64" s="110">
        <f t="shared" si="8"/>
        <v>1.4148222268794165E-13</v>
      </c>
      <c r="C64" s="111">
        <f t="shared" si="5"/>
        <v>5.0999999999999999E-7</v>
      </c>
      <c r="D64" s="111">
        <f t="shared" si="9"/>
        <v>9.8779106935781265</v>
      </c>
      <c r="E64" s="112">
        <f t="shared" si="10"/>
        <v>177082923548.9819</v>
      </c>
      <c r="F64" s="120">
        <v>6.864257034528789E-3</v>
      </c>
      <c r="G64" s="120">
        <f t="shared" si="3"/>
        <v>6.8666004284087083E-3</v>
      </c>
      <c r="H64" s="120">
        <v>1.4173079460763511E-2</v>
      </c>
      <c r="I64" s="120">
        <f t="shared" si="11"/>
        <v>1.0309278350515464E-2</v>
      </c>
      <c r="J64" s="120">
        <v>2.4744142203070273E-3</v>
      </c>
      <c r="K64" s="120">
        <v>1.2198804179882757E-2</v>
      </c>
      <c r="L64" s="120">
        <f t="shared" si="6"/>
        <v>2.215227904438966E-14</v>
      </c>
      <c r="M64" s="107" t="e">
        <f>Toolbox!V54/SUM(Toolbox!V$12:V$108)</f>
        <v>#DIV/0!</v>
      </c>
      <c r="N64" s="108">
        <f t="shared" si="7"/>
        <v>1.4173079460763511E-2</v>
      </c>
    </row>
    <row r="65" spans="1:14">
      <c r="A65" s="103">
        <v>515</v>
      </c>
      <c r="B65" s="110">
        <f t="shared" si="8"/>
        <v>2.6816800842263544E-12</v>
      </c>
      <c r="C65" s="111">
        <f t="shared" si="5"/>
        <v>5.1500000000000005E-7</v>
      </c>
      <c r="D65" s="111">
        <f t="shared" si="9"/>
        <v>9.7820086480094055</v>
      </c>
      <c r="E65" s="112">
        <f t="shared" si="10"/>
        <v>185627959256.26407</v>
      </c>
      <c r="F65" s="120">
        <v>7.1956066554709468E-3</v>
      </c>
      <c r="G65" s="120">
        <f t="shared" si="3"/>
        <v>7.1979443246605766E-3</v>
      </c>
      <c r="H65" s="120">
        <v>1.397508074396874E-2</v>
      </c>
      <c r="I65" s="120">
        <f t="shared" si="11"/>
        <v>1.0309278350515464E-2</v>
      </c>
      <c r="J65" s="120">
        <v>1.8516024777807689E-3</v>
      </c>
      <c r="K65" s="120">
        <v>1.3884244710209345E-2</v>
      </c>
      <c r="L65" s="120">
        <f t="shared" si="6"/>
        <v>4.198783734447763E-13</v>
      </c>
      <c r="M65" s="107" t="e">
        <f>Toolbox!V55/SUM(Toolbox!V$12:V$108)</f>
        <v>#DIV/0!</v>
      </c>
      <c r="N65" s="108">
        <f t="shared" si="7"/>
        <v>1.397508074396874E-2</v>
      </c>
    </row>
    <row r="66" spans="1:14">
      <c r="A66" s="103">
        <v>520</v>
      </c>
      <c r="B66" s="110">
        <f t="shared" si="8"/>
        <v>4.3572903949859834E-11</v>
      </c>
      <c r="C66" s="111">
        <f t="shared" si="5"/>
        <v>5.2E-7</v>
      </c>
      <c r="D66" s="111">
        <f t="shared" si="9"/>
        <v>9.687950872547777</v>
      </c>
      <c r="E66" s="112">
        <f t="shared" si="10"/>
        <v>194318436932.55478</v>
      </c>
      <c r="F66" s="120">
        <v>7.5326086500033399E-3</v>
      </c>
      <c r="G66" s="120">
        <f t="shared" si="3"/>
        <v>7.5349279057938985E-3</v>
      </c>
      <c r="H66" s="120">
        <v>1.3777082027173969E-2</v>
      </c>
      <c r="I66" s="120">
        <f t="shared" si="11"/>
        <v>1.0309278350515464E-2</v>
      </c>
      <c r="J66" s="120">
        <v>1.498114732022622E-3</v>
      </c>
      <c r="K66" s="120">
        <v>1.5644073397941275E-2</v>
      </c>
      <c r="L66" s="120">
        <f t="shared" si="6"/>
        <v>6.822335051949601E-12</v>
      </c>
      <c r="M66" s="107" t="e">
        <f>Toolbox!V56/SUM(Toolbox!V$12:V$108)</f>
        <v>#DIV/0!</v>
      </c>
      <c r="N66" s="108">
        <f t="shared" si="7"/>
        <v>1.3777082027173969E-2</v>
      </c>
    </row>
    <row r="67" spans="1:14">
      <c r="A67" s="103">
        <v>525</v>
      </c>
      <c r="B67" s="110">
        <f t="shared" si="8"/>
        <v>6.0691865724797345E-10</v>
      </c>
      <c r="C67" s="111">
        <f t="shared" si="5"/>
        <v>5.2499999999999995E-7</v>
      </c>
      <c r="D67" s="111">
        <f t="shared" si="9"/>
        <v>9.5956846737616086</v>
      </c>
      <c r="E67" s="112">
        <f t="shared" si="10"/>
        <v>203145644065.37482</v>
      </c>
      <c r="F67" s="120">
        <v>7.8749097447765749E-3</v>
      </c>
      <c r="G67" s="120">
        <f t="shared" si="3"/>
        <v>7.8772133338019159E-3</v>
      </c>
      <c r="H67" s="120">
        <v>1.3967718241883408E-2</v>
      </c>
      <c r="I67" s="120">
        <f t="shared" si="11"/>
        <v>1.0309278350515464E-2</v>
      </c>
      <c r="J67" s="120">
        <v>1.39711823323458E-3</v>
      </c>
      <c r="K67" s="120">
        <v>1.7446217971934932E-2</v>
      </c>
      <c r="L67" s="120">
        <f t="shared" si="6"/>
        <v>9.5027001959513756E-11</v>
      </c>
      <c r="M67" s="107" t="e">
        <f>Toolbox!V57/SUM(Toolbox!V$12:V$108)</f>
        <v>#DIV/0!</v>
      </c>
      <c r="N67" s="108">
        <f t="shared" si="7"/>
        <v>1.3967718241883408E-2</v>
      </c>
    </row>
    <row r="68" spans="1:14">
      <c r="A68" s="103">
        <v>530</v>
      </c>
      <c r="B68" s="110">
        <f t="shared" si="8"/>
        <v>7.2468440786919286E-9</v>
      </c>
      <c r="C68" s="111">
        <f t="shared" si="5"/>
        <v>5.3000000000000001E-7</v>
      </c>
      <c r="D68" s="111">
        <f t="shared" si="9"/>
        <v>9.5051593466506485</v>
      </c>
      <c r="E68" s="112">
        <f t="shared" si="10"/>
        <v>212100715089.29153</v>
      </c>
      <c r="F68" s="120">
        <v>8.2221878376191517E-3</v>
      </c>
      <c r="G68" s="120">
        <f t="shared" si="3"/>
        <v>8.2244568358680447E-3</v>
      </c>
      <c r="H68" s="120">
        <v>1.4158222983341325E-2</v>
      </c>
      <c r="I68" s="120">
        <f t="shared" si="11"/>
        <v>1.0309278350515464E-2</v>
      </c>
      <c r="J68" s="120">
        <v>1.9862644761648243E-3</v>
      </c>
      <c r="K68" s="120">
        <v>1.9253484353487643E-2</v>
      </c>
      <c r="L68" s="120">
        <f t="shared" si="6"/>
        <v>1.1346592467411711E-9</v>
      </c>
      <c r="M68" s="107" t="e">
        <f>Toolbox!V58/SUM(Toolbox!V$12:V$108)</f>
        <v>#DIV/0!</v>
      </c>
      <c r="N68" s="108">
        <f t="shared" si="7"/>
        <v>1.4158222983341325E-2</v>
      </c>
    </row>
    <row r="69" spans="1:14">
      <c r="A69" s="103">
        <v>535</v>
      </c>
      <c r="B69" s="110">
        <f t="shared" si="8"/>
        <v>7.4177431568615803E-8</v>
      </c>
      <c r="C69" s="111">
        <f t="shared" si="5"/>
        <v>5.3499999999999996E-7</v>
      </c>
      <c r="D69" s="111">
        <f t="shared" si="9"/>
        <v>9.4163260817286805</v>
      </c>
      <c r="E69" s="112">
        <f t="shared" si="10"/>
        <v>221174661870.68845</v>
      </c>
      <c r="F69" s="120">
        <v>8.5740792647890501E-3</v>
      </c>
      <c r="G69" s="120">
        <f t="shared" si="3"/>
        <v>8.5763098864489688E-3</v>
      </c>
      <c r="H69" s="120">
        <v>1.3942343904339325E-2</v>
      </c>
      <c r="I69" s="120">
        <f t="shared" si="11"/>
        <v>1.0309278350515464E-2</v>
      </c>
      <c r="J69" s="120">
        <v>8.2480474010234242E-3</v>
      </c>
      <c r="K69" s="120">
        <v>2.1022946917342557E-2</v>
      </c>
      <c r="L69" s="120">
        <f t="shared" si="6"/>
        <v>1.1614174075625006E-8</v>
      </c>
      <c r="M69" s="107" t="e">
        <f>Toolbox!V59/SUM(Toolbox!V$12:V$108)</f>
        <v>#DIV/0!</v>
      </c>
      <c r="N69" s="108">
        <f t="shared" si="7"/>
        <v>1.3942343904339325E-2</v>
      </c>
    </row>
    <row r="70" spans="1:14">
      <c r="A70" s="103">
        <v>540</v>
      </c>
      <c r="B70" s="110">
        <f t="shared" si="8"/>
        <v>6.5087727899237167E-7</v>
      </c>
      <c r="C70" s="111">
        <f t="shared" si="5"/>
        <v>5.4000000000000002E-7</v>
      </c>
      <c r="D70" s="111">
        <f t="shared" si="9"/>
        <v>9.3291378772682307</v>
      </c>
      <c r="E70" s="112">
        <f t="shared" si="10"/>
        <v>230358403152.83456</v>
      </c>
      <c r="F70" s="120">
        <v>8.9302307529368838E-3</v>
      </c>
      <c r="G70" s="120">
        <f t="shared" si="3"/>
        <v>8.9324203490421406E-3</v>
      </c>
      <c r="H70" s="120">
        <v>1.3726464825337325E-2</v>
      </c>
      <c r="I70" s="120">
        <f t="shared" si="11"/>
        <v>1.0309278350515464E-2</v>
      </c>
      <c r="J70" s="120">
        <v>6.6640856450309677E-2</v>
      </c>
      <c r="K70" s="120">
        <v>2.2707046021879871E-2</v>
      </c>
      <c r="L70" s="120">
        <f t="shared" si="6"/>
        <v>1.0190972995733788E-7</v>
      </c>
      <c r="M70" s="107" t="e">
        <f>Toolbox!V60/SUM(Toolbox!V$12:V$108)</f>
        <v>#DIV/0!</v>
      </c>
      <c r="N70" s="108">
        <f t="shared" si="7"/>
        <v>1.3726464825337325E-2</v>
      </c>
    </row>
    <row r="71" spans="1:14">
      <c r="A71" s="103">
        <v>545</v>
      </c>
      <c r="B71" s="110">
        <f t="shared" si="8"/>
        <v>4.895881262065518E-6</v>
      </c>
      <c r="C71" s="111">
        <f t="shared" si="5"/>
        <v>5.4499999999999997E-7</v>
      </c>
      <c r="D71" s="111">
        <f t="shared" si="9"/>
        <v>9.2435494563758613</v>
      </c>
      <c r="E71" s="112">
        <f t="shared" si="10"/>
        <v>239642792878.5387</v>
      </c>
      <c r="F71" s="120">
        <v>9.290299419105889E-3</v>
      </c>
      <c r="G71" s="120">
        <f t="shared" si="3"/>
        <v>9.2924335744302977E-3</v>
      </c>
      <c r="H71" s="120">
        <v>1.3702931113314573E-2</v>
      </c>
      <c r="I71" s="120">
        <f t="shared" si="11"/>
        <v>1.0309278350515464E-2</v>
      </c>
      <c r="J71" s="120">
        <v>0.12260974952868291</v>
      </c>
      <c r="K71" s="120">
        <v>2.4256880599690493E-2</v>
      </c>
      <c r="L71" s="120">
        <f t="shared" si="6"/>
        <v>7.6656222827857398E-7</v>
      </c>
      <c r="M71" s="107" t="e">
        <f>Toolbox!V61/SUM(Toolbox!V$12:V$108)</f>
        <v>#DIV/0!</v>
      </c>
      <c r="N71" s="108">
        <f t="shared" si="7"/>
        <v>1.3702931113314573E-2</v>
      </c>
    </row>
    <row r="72" spans="1:14">
      <c r="A72" s="103">
        <v>550</v>
      </c>
      <c r="B72" s="110">
        <f t="shared" si="8"/>
        <v>3.1569455185086301E-5</v>
      </c>
      <c r="C72" s="111">
        <f t="shared" si="5"/>
        <v>5.5000000000000003E-7</v>
      </c>
      <c r="D72" s="111">
        <f t="shared" si="9"/>
        <v>9.159517188590625</v>
      </c>
      <c r="E72" s="112">
        <f t="shared" si="10"/>
        <v>249018647322.10223</v>
      </c>
      <c r="F72" s="120">
        <v>9.6539215995540481E-3</v>
      </c>
      <c r="G72" s="120">
        <f t="shared" si="3"/>
        <v>9.6559934527551163E-3</v>
      </c>
      <c r="H72" s="120">
        <v>1.3679265928040299E-2</v>
      </c>
      <c r="I72" s="120">
        <f t="shared" si="11"/>
        <v>1.0309278350515464E-2</v>
      </c>
      <c r="J72" s="120">
        <v>5.4891597091300787E-2</v>
      </c>
      <c r="K72" s="120">
        <v>2.5624647113556567E-2</v>
      </c>
      <c r="L72" s="120">
        <f t="shared" si="6"/>
        <v>4.9429205115180116E-6</v>
      </c>
      <c r="M72" s="107" t="e">
        <f>Toolbox!V62/SUM(Toolbox!V$12:V$108)</f>
        <v>#DIV/0!</v>
      </c>
      <c r="N72" s="108">
        <f t="shared" si="7"/>
        <v>1.3679265928040299E-2</v>
      </c>
    </row>
    <row r="73" spans="1:14">
      <c r="A73" s="103">
        <v>555</v>
      </c>
      <c r="B73" s="110">
        <f t="shared" si="8"/>
        <v>1.7450494693534494E-4</v>
      </c>
      <c r="C73" s="111">
        <f t="shared" si="5"/>
        <v>5.5499999999999998E-7</v>
      </c>
      <c r="D73" s="111">
        <f t="shared" si="9"/>
        <v>9.076999015720439</v>
      </c>
      <c r="E73" s="112">
        <f t="shared" si="10"/>
        <v>258476770975.78943</v>
      </c>
      <c r="F73" s="120">
        <v>1.0020733630539342E-2</v>
      </c>
      <c r="G73" s="120">
        <f t="shared" si="3"/>
        <v>1.0022743417295808E-2</v>
      </c>
      <c r="H73" s="120">
        <v>1.3413295540207747E-2</v>
      </c>
      <c r="I73" s="120">
        <f t="shared" si="11"/>
        <v>1.0309278350515464E-2</v>
      </c>
      <c r="J73" s="120">
        <v>1.2658227848101255E-2</v>
      </c>
      <c r="K73" s="120">
        <v>2.6766810199226113E-2</v>
      </c>
      <c r="L73" s="120">
        <f t="shared" si="6"/>
        <v>2.7322742078094581E-5</v>
      </c>
      <c r="M73" s="107" t="e">
        <f>Toolbox!V63/SUM(Toolbox!V$12:V$108)</f>
        <v>#DIV/0!</v>
      </c>
      <c r="N73" s="108">
        <f t="shared" si="7"/>
        <v>1.3413295540207747E-2</v>
      </c>
    </row>
    <row r="74" spans="1:14">
      <c r="A74" s="103">
        <v>560</v>
      </c>
      <c r="B74" s="110">
        <f t="shared" si="8"/>
        <v>8.2689971910402955E-4</v>
      </c>
      <c r="C74" s="111">
        <f t="shared" si="5"/>
        <v>5.6000000000000004E-7</v>
      </c>
      <c r="D74" s="111">
        <f t="shared" si="9"/>
        <v>8.9959543816515062</v>
      </c>
      <c r="E74" s="112">
        <f t="shared" si="10"/>
        <v>268007981148.56378</v>
      </c>
      <c r="F74" s="120">
        <v>1.0390392629105009E-2</v>
      </c>
      <c r="G74" s="120">
        <f t="shared" si="3"/>
        <v>1.03923273983143E-2</v>
      </c>
      <c r="H74" s="120">
        <v>1.3147325152375197E-2</v>
      </c>
      <c r="I74" s="120">
        <f t="shared" si="11"/>
        <v>1.0309278350515464E-2</v>
      </c>
      <c r="J74" s="120">
        <v>4.7636681928359776E-3</v>
      </c>
      <c r="K74" s="120">
        <v>2.7646175777996464E-2</v>
      </c>
      <c r="L74" s="120">
        <f t="shared" si="6"/>
        <v>1.2947007031209926E-4</v>
      </c>
      <c r="M74" s="107" t="e">
        <f>Toolbox!V64/SUM(Toolbox!V$12:V$108)</f>
        <v>#DIV/0!</v>
      </c>
      <c r="N74" s="108">
        <f t="shared" si="7"/>
        <v>1.3147325152375197E-2</v>
      </c>
    </row>
    <row r="75" spans="1:14">
      <c r="A75" s="103">
        <v>565</v>
      </c>
      <c r="B75" s="110">
        <f t="shared" si="8"/>
        <v>3.358941121334418E-3</v>
      </c>
      <c r="C75" s="111">
        <f t="shared" si="5"/>
        <v>5.6499999999999999E-7</v>
      </c>
      <c r="D75" s="111">
        <f t="shared" si="9"/>
        <v>8.9163441658846789</v>
      </c>
      <c r="E75" s="112">
        <f t="shared" si="10"/>
        <v>277603131246.44482</v>
      </c>
      <c r="F75" s="120">
        <v>1.0762576493079551E-2</v>
      </c>
      <c r="G75" s="120">
        <f t="shared" si="3"/>
        <v>1.0764390725778686E-2</v>
      </c>
      <c r="H75" s="120">
        <v>1.2906347829657312E-2</v>
      </c>
      <c r="I75" s="120">
        <f t="shared" si="11"/>
        <v>1.0309278350515464E-2</v>
      </c>
      <c r="J75" s="120">
        <v>3.2992189604093697E-3</v>
      </c>
      <c r="K75" s="120">
        <v>2.8234208064895738E-2</v>
      </c>
      <c r="L75" s="120">
        <f t="shared" si="6"/>
        <v>5.2591908438979346E-4</v>
      </c>
      <c r="M75" s="107" t="e">
        <f>Toolbox!V65/SUM(Toolbox!V$12:V$108)</f>
        <v>#DIV/0!</v>
      </c>
      <c r="N75" s="108">
        <f t="shared" si="7"/>
        <v>1.2906347829657312E-2</v>
      </c>
    </row>
    <row r="76" spans="1:14">
      <c r="A76" s="103">
        <v>570</v>
      </c>
      <c r="B76" s="110">
        <f t="shared" si="8"/>
        <v>1.1696512341024772E-2</v>
      </c>
      <c r="C76" s="111">
        <f t="shared" si="5"/>
        <v>5.7000000000000005E-7</v>
      </c>
      <c r="D76" s="111">
        <f t="shared" si="9"/>
        <v>8.8381306205698991</v>
      </c>
      <c r="E76" s="112">
        <f t="shared" si="10"/>
        <v>287253132714.47705</v>
      </c>
      <c r="F76" s="120">
        <v>1.1136838435579914E-2</v>
      </c>
      <c r="G76" s="120">
        <f t="shared" si="3"/>
        <v>1.1138580980189107E-2</v>
      </c>
      <c r="H76" s="120">
        <v>1.2665370506939427E-2</v>
      </c>
      <c r="I76" s="120">
        <f t="shared" si="11"/>
        <v>1.0309278350515464E-2</v>
      </c>
      <c r="J76" s="120">
        <v>2.8110692162671667E-3</v>
      </c>
      <c r="K76" s="120">
        <v>2.8512249046673075E-2</v>
      </c>
      <c r="L76" s="120">
        <f t="shared" si="6"/>
        <v>1.8313566206548664E-3</v>
      </c>
      <c r="M76" s="107" t="e">
        <f>Toolbox!V66/SUM(Toolbox!V$12:V$108)</f>
        <v>#DIV/0!</v>
      </c>
      <c r="N76" s="108">
        <f t="shared" si="7"/>
        <v>1.2665370506939427E-2</v>
      </c>
    </row>
    <row r="77" spans="1:14">
      <c r="A77" s="103">
        <v>575</v>
      </c>
      <c r="B77" s="110">
        <f t="shared" si="8"/>
        <v>3.4915223064756855E-2</v>
      </c>
      <c r="C77" s="111">
        <f t="shared" si="5"/>
        <v>5.75E-7</v>
      </c>
      <c r="D77" s="111">
        <f t="shared" si="9"/>
        <v>8.7612773108258164</v>
      </c>
      <c r="E77" s="112">
        <f t="shared" si="10"/>
        <v>296948975630.01263</v>
      </c>
      <c r="F77" s="120">
        <v>1.1512866744827224E-2</v>
      </c>
      <c r="G77" s="120">
        <f t="shared" si="3"/>
        <v>1.1514548791106711E-2</v>
      </c>
      <c r="H77" s="120">
        <v>1.2629465161948289E-2</v>
      </c>
      <c r="I77" s="120">
        <f t="shared" si="11"/>
        <v>1.0309278350515464E-2</v>
      </c>
      <c r="J77" s="120">
        <v>7.4569081605170952E-3</v>
      </c>
      <c r="K77" s="120">
        <v>2.8472006272994777E-2</v>
      </c>
      <c r="L77" s="120">
        <f t="shared" si="6"/>
        <v>5.4667770235244124E-3</v>
      </c>
      <c r="M77" s="107" t="e">
        <f>Toolbox!V67/SUM(Toolbox!V$12:V$108)</f>
        <v>#DIV/0!</v>
      </c>
      <c r="N77" s="108">
        <f t="shared" si="7"/>
        <v>1.2629465161948289E-2</v>
      </c>
    </row>
    <row r="78" spans="1:14">
      <c r="A78" s="103">
        <v>580</v>
      </c>
      <c r="B78" s="110">
        <f t="shared" si="8"/>
        <v>8.9346532830896552E-2</v>
      </c>
      <c r="C78" s="111">
        <f t="shared" si="5"/>
        <v>5.7999999999999995E-7</v>
      </c>
      <c r="D78" s="111">
        <f t="shared" si="9"/>
        <v>8.6857490581462837</v>
      </c>
      <c r="E78" s="112">
        <f t="shared" si="10"/>
        <v>306681747945.82513</v>
      </c>
      <c r="F78" s="120">
        <v>1.1890349709042611E-2</v>
      </c>
      <c r="G78" s="120">
        <f t="shared" si="3"/>
        <v>1.1891948583328217E-2</v>
      </c>
      <c r="H78" s="120">
        <v>1.2593559816957154E-2</v>
      </c>
      <c r="I78" s="120">
        <f t="shared" si="11"/>
        <v>1.0309278350515464E-2</v>
      </c>
      <c r="J78" s="120">
        <v>1.8987341772151882E-2</v>
      </c>
      <c r="K78" s="120">
        <v>2.8115308960846217E-2</v>
      </c>
      <c r="L78" s="120">
        <f t="shared" si="6"/>
        <v>1.3989243943984417E-2</v>
      </c>
      <c r="M78" s="107" t="e">
        <f>Toolbox!V68/SUM(Toolbox!V$12:V$108)</f>
        <v>#DIV/0!</v>
      </c>
      <c r="N78" s="108">
        <f t="shared" si="7"/>
        <v>1.2593559816957154E-2</v>
      </c>
    </row>
    <row r="79" spans="1:14">
      <c r="A79" s="103">
        <v>585</v>
      </c>
      <c r="B79" s="110">
        <f t="shared" si="8"/>
        <v>0.19599501811606665</v>
      </c>
      <c r="C79" s="111">
        <f t="shared" si="5"/>
        <v>5.8500000000000001E-7</v>
      </c>
      <c r="D79" s="111">
        <f t="shared" si="9"/>
        <v>8.6115118867091347</v>
      </c>
      <c r="E79" s="112">
        <f t="shared" si="10"/>
        <v>316442653389.45471</v>
      </c>
      <c r="F79" s="120">
        <v>1.2268975616447195E-2</v>
      </c>
      <c r="G79" s="120">
        <f t="shared" si="3"/>
        <v>1.2270439270954258E-2</v>
      </c>
      <c r="H79" s="120">
        <v>1.2126672006146005E-2</v>
      </c>
      <c r="I79" s="120">
        <f t="shared" si="11"/>
        <v>1.0309278350515464E-2</v>
      </c>
      <c r="J79" s="120">
        <v>2.4845138701858314E-2</v>
      </c>
      <c r="K79" s="120">
        <v>2.7453864098933807E-2</v>
      </c>
      <c r="L79" s="120">
        <f t="shared" si="6"/>
        <v>3.0687504409607748E-2</v>
      </c>
      <c r="M79" s="107" t="e">
        <f>Toolbox!V69/SUM(Toolbox!V$12:V$108)</f>
        <v>#DIV/0!</v>
      </c>
      <c r="N79" s="108">
        <f t="shared" si="7"/>
        <v>1.2126672006146005E-2</v>
      </c>
    </row>
    <row r="80" spans="1:14">
      <c r="A80" s="103">
        <v>590</v>
      </c>
      <c r="B80" s="110">
        <f t="shared" si="8"/>
        <v>0.36856730432277529</v>
      </c>
      <c r="C80" s="111">
        <f t="shared" si="5"/>
        <v>5.8999999999999996E-7</v>
      </c>
      <c r="D80" s="111">
        <f t="shared" si="9"/>
        <v>8.5385329724149912</v>
      </c>
      <c r="E80" s="112">
        <f t="shared" si="10"/>
        <v>326223028032.31348</v>
      </c>
      <c r="F80" s="120">
        <v>1.264832885133582E-2</v>
      </c>
      <c r="G80" s="120">
        <f t="shared" si="3"/>
        <v>1.2649684899876097E-2</v>
      </c>
      <c r="H80" s="120">
        <v>1.1659784195334857E-2</v>
      </c>
      <c r="I80" s="120">
        <f t="shared" si="11"/>
        <v>1.0309278350515464E-2</v>
      </c>
      <c r="J80" s="120">
        <v>2.1428090492862897E-2</v>
      </c>
      <c r="K80" s="120">
        <v>2.6508402813091827E-2</v>
      </c>
      <c r="L80" s="120">
        <f t="shared" si="6"/>
        <v>5.7707644231775705E-2</v>
      </c>
      <c r="M80" s="107" t="e">
        <f>Toolbox!V70/SUM(Toolbox!V$12:V$108)</f>
        <v>#DIV/0!</v>
      </c>
      <c r="N80" s="108">
        <f t="shared" si="7"/>
        <v>1.1659784195334857E-2</v>
      </c>
    </row>
    <row r="81" spans="1:14">
      <c r="A81" s="103">
        <v>595</v>
      </c>
      <c r="B81" s="110">
        <f t="shared" si="8"/>
        <v>0.59414579182405569</v>
      </c>
      <c r="C81" s="111">
        <f t="shared" si="5"/>
        <v>5.9500000000000002E-7</v>
      </c>
      <c r="D81" s="111">
        <f t="shared" si="9"/>
        <v>8.4667805944955354</v>
      </c>
      <c r="E81" s="112">
        <f t="shared" si="10"/>
        <v>336014355548.30432</v>
      </c>
      <c r="F81" s="120">
        <v>1.3028097701929607E-2</v>
      </c>
      <c r="G81" s="120">
        <f t="shared" si="3"/>
        <v>1.3029355239446675E-2</v>
      </c>
      <c r="H81" s="120">
        <v>1.1746595983315991E-2</v>
      </c>
      <c r="I81" s="120">
        <f t="shared" si="11"/>
        <v>1.0309278350515464E-2</v>
      </c>
      <c r="J81" s="120">
        <v>1.6395098303258807E-2</v>
      </c>
      <c r="K81" s="120">
        <v>2.5307338940493126E-2</v>
      </c>
      <c r="L81" s="120">
        <f t="shared" si="6"/>
        <v>9.3027117637006732E-2</v>
      </c>
      <c r="M81" s="107" t="e">
        <f>Toolbox!V71/SUM(Toolbox!V$12:V$108)</f>
        <v>#DIV/0!</v>
      </c>
      <c r="N81" s="108">
        <f t="shared" si="7"/>
        <v>1.1746595983315991E-2</v>
      </c>
    </row>
    <row r="82" spans="1:14">
      <c r="A82" s="103">
        <v>600</v>
      </c>
      <c r="B82" s="110">
        <f t="shared" si="8"/>
        <v>0.8210577223003156</v>
      </c>
      <c r="C82" s="111">
        <f t="shared" si="5"/>
        <v>5.9999999999999997E-7</v>
      </c>
      <c r="D82" s="111">
        <f t="shared" si="9"/>
        <v>8.3962240895414055</v>
      </c>
      <c r="E82" s="112">
        <f t="shared" si="10"/>
        <v>345808281187.21979</v>
      </c>
      <c r="F82" s="120">
        <v>1.3408074360375978E-2</v>
      </c>
      <c r="G82" s="120">
        <f t="shared" si="3"/>
        <v>1.3409126324315726E-2</v>
      </c>
      <c r="H82" s="120">
        <v>1.1833407771297126E-2</v>
      </c>
      <c r="I82" s="120">
        <f t="shared" si="11"/>
        <v>1.0309278350515464E-2</v>
      </c>
      <c r="J82" s="120">
        <v>1.2338405601939122E-2</v>
      </c>
      <c r="K82" s="120">
        <v>2.3886037342855014E-2</v>
      </c>
      <c r="L82" s="120">
        <f t="shared" si="6"/>
        <v>0.12855537204885706</v>
      </c>
      <c r="M82" s="107" t="e">
        <f>Toolbox!V72/SUM(Toolbox!V$12:V$108)</f>
        <v>#DIV/0!</v>
      </c>
      <c r="N82" s="108">
        <f t="shared" si="7"/>
        <v>1.1833407771297126E-2</v>
      </c>
    </row>
    <row r="83" spans="1:14">
      <c r="A83" s="103">
        <v>605</v>
      </c>
      <c r="B83" s="110">
        <f t="shared" si="8"/>
        <v>0.97265494741228553</v>
      </c>
      <c r="C83" s="111">
        <f t="shared" si="5"/>
        <v>6.0500000000000003E-7</v>
      </c>
      <c r="D83" s="111">
        <f t="shared" si="9"/>
        <v>8.326833807809658</v>
      </c>
      <c r="E83" s="112">
        <f t="shared" si="10"/>
        <v>355596624492.99231</v>
      </c>
      <c r="F83" s="120">
        <v>1.3787739307043476E-2</v>
      </c>
      <c r="G83" s="120">
        <f t="shared" si="3"/>
        <v>1.3788680947595016E-2</v>
      </c>
      <c r="H83" s="120">
        <v>1.1806639817286888E-2</v>
      </c>
      <c r="I83" s="120">
        <f t="shared" si="11"/>
        <v>1.0309278350515464E-2</v>
      </c>
      <c r="J83" s="120">
        <v>1.6361432803662795E-2</v>
      </c>
      <c r="K83" s="120">
        <v>2.2525465749131422E-2</v>
      </c>
      <c r="L83" s="120">
        <f t="shared" si="6"/>
        <v>0.15229138615179164</v>
      </c>
      <c r="M83" s="107" t="e">
        <f>Toolbox!V73/SUM(Toolbox!V$12:V$108)</f>
        <v>#DIV/0!</v>
      </c>
      <c r="N83" s="108">
        <f t="shared" si="7"/>
        <v>1.1806639817286888E-2</v>
      </c>
    </row>
    <row r="84" spans="1:14">
      <c r="A84" s="103">
        <v>610</v>
      </c>
      <c r="B84" s="110">
        <f t="shared" si="8"/>
        <v>0.98775299599583766</v>
      </c>
      <c r="C84" s="111">
        <f t="shared" si="5"/>
        <v>6.0999999999999998E-7</v>
      </c>
      <c r="D84" s="111">
        <f t="shared" si="9"/>
        <v>8.2585810716800729</v>
      </c>
      <c r="E84" s="112">
        <f t="shared" si="10"/>
        <v>365371390800.93573</v>
      </c>
      <c r="F84" s="120">
        <v>1.4166884734079517E-2</v>
      </c>
      <c r="G84" s="120">
        <f t="shared" si="3"/>
        <v>1.4167709106677525E-2</v>
      </c>
      <c r="H84" s="120">
        <v>1.1779885010601806E-2</v>
      </c>
      <c r="I84" s="120">
        <f t="shared" si="11"/>
        <v>1.0309278350515464E-2</v>
      </c>
      <c r="J84" s="120">
        <v>9.3034608133584634E-2</v>
      </c>
      <c r="K84" s="120">
        <v>2.1245135807166381E-2</v>
      </c>
      <c r="L84" s="120">
        <f t="shared" si="6"/>
        <v>0.15465533109762619</v>
      </c>
      <c r="M84" s="107" t="e">
        <f>Toolbox!V74/SUM(Toolbox!V$12:V$108)</f>
        <v>#DIV/0!</v>
      </c>
      <c r="N84" s="108">
        <f t="shared" si="7"/>
        <v>1.1779885010601806E-2</v>
      </c>
    </row>
    <row r="85" spans="1:14">
      <c r="A85" s="103">
        <v>615</v>
      </c>
      <c r="B85" s="110">
        <f t="shared" si="8"/>
        <v>0.85988892706161069</v>
      </c>
      <c r="C85" s="111">
        <f t="shared" si="5"/>
        <v>6.1500000000000004E-7</v>
      </c>
      <c r="D85" s="111">
        <f t="shared" si="9"/>
        <v>8.1914381361379576</v>
      </c>
      <c r="E85" s="112">
        <f t="shared" si="10"/>
        <v>375124781551.62378</v>
      </c>
      <c r="F85" s="120">
        <v>1.4545302833631521E-2</v>
      </c>
      <c r="G85" s="120">
        <f t="shared" si="3"/>
        <v>1.4545908403170318E-2</v>
      </c>
      <c r="H85" s="120">
        <v>1.1654959127003936E-2</v>
      </c>
      <c r="I85" s="120">
        <f t="shared" si="11"/>
        <v>1.0309278350515464E-2</v>
      </c>
      <c r="J85" s="120">
        <v>7.1673848639913759E-2</v>
      </c>
      <c r="K85" s="120">
        <v>2.0033218580454447E-2</v>
      </c>
      <c r="L85" s="120">
        <f t="shared" si="6"/>
        <v>0.13463528560378707</v>
      </c>
      <c r="M85" s="107" t="e">
        <f>Toolbox!V75/SUM(Toolbox!V$12:V$108)</f>
        <v>#DIV/0!</v>
      </c>
      <c r="N85" s="108">
        <f t="shared" si="7"/>
        <v>1.1654959127003936E-2</v>
      </c>
    </row>
    <row r="86" spans="1:14">
      <c r="A86" s="103">
        <v>620</v>
      </c>
      <c r="B86" s="110">
        <f t="shared" ref="B86:B102" si="12">EXP(-(((A86-$C$15)/($C$16/2))^2*LN(2)))</f>
        <v>0.64171294878145202</v>
      </c>
      <c r="C86" s="111">
        <f t="shared" si="5"/>
        <v>6.1999999999999999E-7</v>
      </c>
      <c r="D86" s="111">
        <f t="shared" ref="D86:D102" si="13">$H$15*H$16/($H$17*$C86*$H$18)</f>
        <v>8.1253781511691034</v>
      </c>
      <c r="E86" s="112">
        <f t="shared" ref="E86:E102" si="14">(2*H$15*(H$16^2))/((C86^5))*(1/(EXP(D86)-1))</f>
        <v>384849203461.90991</v>
      </c>
      <c r="F86" s="120">
        <v>1.4922474086068033E-2</v>
      </c>
      <c r="G86" s="120">
        <f t="shared" ref="G86:G101" si="15">E86/SUM(E$22:E$118)</f>
        <v>1.492298439851172E-2</v>
      </c>
      <c r="H86" s="120">
        <v>1.1530033243406066E-2</v>
      </c>
      <c r="I86" s="120">
        <f t="shared" ref="I86:I118" si="16">1/97</f>
        <v>1.0309278350515464E-2</v>
      </c>
      <c r="J86" s="120">
        <v>2.218556423377321E-2</v>
      </c>
      <c r="K86" s="120">
        <v>1.8880689931867759E-2</v>
      </c>
      <c r="L86" s="120">
        <f t="shared" si="6"/>
        <v>0.10047484438492932</v>
      </c>
      <c r="M86" s="107" t="e">
        <f>Toolbox!V76/SUM(Toolbox!V$12:V$108)</f>
        <v>#DIV/0!</v>
      </c>
      <c r="N86" s="108">
        <f t="shared" si="7"/>
        <v>1.1530033243406066E-2</v>
      </c>
    </row>
    <row r="87" spans="1:14">
      <c r="A87" s="103">
        <v>625</v>
      </c>
      <c r="B87" s="110">
        <f t="shared" si="12"/>
        <v>0.41052886115015785</v>
      </c>
      <c r="C87" s="111">
        <f t="shared" ref="C87:C102" si="17">A87/1000000000</f>
        <v>6.2500000000000005E-7</v>
      </c>
      <c r="D87" s="111">
        <f t="shared" si="13"/>
        <v>8.0603751259597498</v>
      </c>
      <c r="E87" s="112">
        <f t="shared" si="14"/>
        <v>394537276595.97418</v>
      </c>
      <c r="F87" s="120">
        <v>1.5298294587462763E-2</v>
      </c>
      <c r="G87" s="120">
        <f t="shared" si="15"/>
        <v>1.5298650926935732E-2</v>
      </c>
      <c r="H87" s="120">
        <v>1.1240121576471042E-2</v>
      </c>
      <c r="I87" s="120">
        <f t="shared" si="16"/>
        <v>1.0309278350515464E-2</v>
      </c>
      <c r="J87" s="120">
        <v>2.2151898734177198E-2</v>
      </c>
      <c r="K87" s="120">
        <v>1.7780964680258964E-2</v>
      </c>
      <c r="L87" s="120">
        <f t="shared" ref="L87:L118" si="18">IF(B87/SUM(B$22:B$118)&lt;0.0001,B87/SUM(B$22:B$118),B87/SUM(B$22:B$118))</f>
        <v>6.4277686024428543E-2</v>
      </c>
      <c r="M87" s="107" t="e">
        <f>Toolbox!V77/SUM(Toolbox!V$12:V$108)</f>
        <v>#DIV/0!</v>
      </c>
      <c r="N87" s="108">
        <f t="shared" ref="N87:N118" si="19">HLOOKUP($C$7,$F$21:$M$118,ROW()-20,0)</f>
        <v>1.1240121576471042E-2</v>
      </c>
    </row>
    <row r="88" spans="1:14">
      <c r="A88" s="103">
        <v>630</v>
      </c>
      <c r="B88" s="110">
        <f t="shared" si="12"/>
        <v>0.22513915489753994</v>
      </c>
      <c r="C88" s="111">
        <f t="shared" si="17"/>
        <v>6.3E-7</v>
      </c>
      <c r="D88" s="111">
        <f t="shared" si="13"/>
        <v>7.9964038948013387</v>
      </c>
      <c r="E88" s="112">
        <f t="shared" si="14"/>
        <v>404181841381.09717</v>
      </c>
      <c r="F88" s="120">
        <v>1.5672452626036833E-2</v>
      </c>
      <c r="G88" s="120">
        <f t="shared" si="15"/>
        <v>1.5672630367516985E-2</v>
      </c>
      <c r="H88" s="120">
        <v>1.0950223056861169E-2</v>
      </c>
      <c r="I88" s="120">
        <f t="shared" si="16"/>
        <v>1.0309278350515464E-2</v>
      </c>
      <c r="J88" s="120">
        <v>2.0636951252356567E-2</v>
      </c>
      <c r="K88" s="120">
        <v>1.6729042965868027E-2</v>
      </c>
      <c r="L88" s="120">
        <f t="shared" si="18"/>
        <v>3.5250685834280697E-2</v>
      </c>
      <c r="M88" s="107" t="e">
        <f>Toolbox!V78/SUM(Toolbox!V$12:V$108)</f>
        <v>#DIV/0!</v>
      </c>
      <c r="N88" s="108">
        <f t="shared" si="19"/>
        <v>1.0950223056861169E-2</v>
      </c>
    </row>
    <row r="89" spans="1:14">
      <c r="A89" s="103">
        <v>635</v>
      </c>
      <c r="B89" s="110">
        <f t="shared" si="12"/>
        <v>0.10584316404531589</v>
      </c>
      <c r="C89" s="111">
        <f t="shared" si="17"/>
        <v>6.3499999999999996E-7</v>
      </c>
      <c r="D89" s="111">
        <f t="shared" si="13"/>
        <v>7.9334400846060538</v>
      </c>
      <c r="E89" s="112">
        <f t="shared" si="14"/>
        <v>413775964614.2807</v>
      </c>
      <c r="F89" s="120">
        <v>1.6044636490011376E-2</v>
      </c>
      <c r="G89" s="120">
        <f t="shared" si="15"/>
        <v>1.6044653877084588E-2</v>
      </c>
      <c r="H89" s="120">
        <v>1.0977214515398993E-2</v>
      </c>
      <c r="I89" s="120">
        <f t="shared" si="16"/>
        <v>1.0309278350515464E-2</v>
      </c>
      <c r="J89" s="120">
        <v>8.6015351467815717E-3</v>
      </c>
      <c r="K89" s="120">
        <v>1.5722119989317371E-2</v>
      </c>
      <c r="L89" s="120">
        <f t="shared" si="18"/>
        <v>1.6572168999948723E-2</v>
      </c>
      <c r="M89" s="107" t="e">
        <f>Toolbox!V79/SUM(Toolbox!V$12:V$108)</f>
        <v>#DIV/0!</v>
      </c>
      <c r="N89" s="108">
        <f t="shared" si="19"/>
        <v>1.0977214515398993E-2</v>
      </c>
    </row>
    <row r="90" spans="1:14">
      <c r="A90" s="103">
        <v>640</v>
      </c>
      <c r="B90" s="110">
        <f t="shared" si="12"/>
        <v>4.2655893356043979E-2</v>
      </c>
      <c r="C90" s="111">
        <f t="shared" si="17"/>
        <v>6.4000000000000001E-7</v>
      </c>
      <c r="D90" s="111">
        <f t="shared" si="13"/>
        <v>7.8714600839450677</v>
      </c>
      <c r="E90" s="112">
        <f t="shared" si="14"/>
        <v>423312944506.81299</v>
      </c>
      <c r="F90" s="120">
        <v>1.6414638371533806E-2</v>
      </c>
      <c r="G90" s="120">
        <f t="shared" si="15"/>
        <v>1.6414461585831128E-2</v>
      </c>
      <c r="H90" s="120">
        <v>1.1004205973936821E-2</v>
      </c>
      <c r="I90" s="120">
        <f t="shared" si="16"/>
        <v>1.0309278350515464E-2</v>
      </c>
      <c r="J90" s="120">
        <v>3.4843792081874461E-3</v>
      </c>
      <c r="K90" s="120">
        <v>1.4758366533621616E-2</v>
      </c>
      <c r="L90" s="120">
        <f t="shared" si="18"/>
        <v>6.6787560624840814E-3</v>
      </c>
      <c r="M90" s="107" t="e">
        <f>Toolbox!V80/SUM(Toolbox!V$12:V$108)</f>
        <v>#DIV/0!</v>
      </c>
      <c r="N90" s="108">
        <f t="shared" si="19"/>
        <v>1.1004205973936821E-2</v>
      </c>
    </row>
    <row r="91" spans="1:14">
      <c r="A91" s="103">
        <v>645</v>
      </c>
      <c r="B91" s="110">
        <f t="shared" si="12"/>
        <v>1.4736682108812255E-2</v>
      </c>
      <c r="C91" s="111">
        <f t="shared" si="17"/>
        <v>6.4499999999999997E-7</v>
      </c>
      <c r="D91" s="111">
        <f t="shared" si="13"/>
        <v>7.8104410135268907</v>
      </c>
      <c r="E91" s="112">
        <f t="shared" si="14"/>
        <v>432786314814.47003</v>
      </c>
      <c r="F91" s="120">
        <v>1.6782146558825248E-2</v>
      </c>
      <c r="G91" s="120">
        <f t="shared" si="15"/>
        <v>1.6781802757466116E-2</v>
      </c>
      <c r="H91" s="120">
        <v>1.0762794789488907E-2</v>
      </c>
      <c r="I91" s="120">
        <f t="shared" si="16"/>
        <v>1.0309278350515464E-2</v>
      </c>
      <c r="J91" s="120">
        <v>3.9388634527336352E-3</v>
      </c>
      <c r="K91" s="120">
        <v>1.3836928964187587E-2</v>
      </c>
      <c r="L91" s="120">
        <f t="shared" si="18"/>
        <v>2.3073647562274037E-3</v>
      </c>
      <c r="M91" s="107" t="e">
        <f>Toolbox!V81/SUM(Toolbox!V$12:V$108)</f>
        <v>#DIV/0!</v>
      </c>
      <c r="N91" s="108">
        <f t="shared" si="19"/>
        <v>1.0762794789488907E-2</v>
      </c>
    </row>
    <row r="92" spans="1:14">
      <c r="A92" s="103">
        <v>650</v>
      </c>
      <c r="B92" s="110">
        <f t="shared" si="12"/>
        <v>4.3644028830946129E-3</v>
      </c>
      <c r="C92" s="111">
        <f t="shared" si="17"/>
        <v>6.5000000000000002E-7</v>
      </c>
      <c r="D92" s="111">
        <f t="shared" si="13"/>
        <v>7.7503606980382207</v>
      </c>
      <c r="E92" s="112">
        <f t="shared" si="14"/>
        <v>442189848101.34985</v>
      </c>
      <c r="F92" s="120">
        <v>1.7147057147959416E-2</v>
      </c>
      <c r="G92" s="120">
        <f t="shared" si="15"/>
        <v>1.7146435915775048E-2</v>
      </c>
      <c r="H92" s="120">
        <v>1.0521383605040993E-2</v>
      </c>
      <c r="I92" s="120">
        <f t="shared" si="16"/>
        <v>1.0309278350515464E-2</v>
      </c>
      <c r="J92" s="120">
        <v>6.0261244276865016E-3</v>
      </c>
      <c r="K92" s="120">
        <v>1.2957807281015287E-2</v>
      </c>
      <c r="L92" s="120">
        <f t="shared" si="18"/>
        <v>6.8334712794055252E-4</v>
      </c>
      <c r="M92" s="107" t="e">
        <f>Toolbox!V82/SUM(Toolbox!V$12:V$108)</f>
        <v>#DIV/0!</v>
      </c>
      <c r="N92" s="108">
        <f t="shared" si="19"/>
        <v>1.0521383605040993E-2</v>
      </c>
    </row>
    <row r="93" spans="1:14">
      <c r="A93" s="103">
        <v>655</v>
      </c>
      <c r="B93" s="110">
        <f t="shared" si="12"/>
        <v>1.108037345355285E-3</v>
      </c>
      <c r="C93" s="111">
        <f t="shared" si="17"/>
        <v>6.5499999999999998E-7</v>
      </c>
      <c r="D93" s="111">
        <f t="shared" si="13"/>
        <v>7.6911976392745718</v>
      </c>
      <c r="E93" s="112">
        <f t="shared" si="14"/>
        <v>451517558185.26526</v>
      </c>
      <c r="F93" s="120">
        <v>1.7508850619304853E-2</v>
      </c>
      <c r="G93" s="120">
        <f t="shared" si="15"/>
        <v>1.75081289394424E-2</v>
      </c>
      <c r="H93" s="120">
        <v>1.0533728943359074E-2</v>
      </c>
      <c r="I93" s="120">
        <f t="shared" si="16"/>
        <v>1.0309278350515464E-2</v>
      </c>
      <c r="J93" s="120">
        <v>5.0666576892001028E-3</v>
      </c>
      <c r="K93" s="120">
        <v>1.166198996857405E-2</v>
      </c>
      <c r="L93" s="120">
        <f t="shared" si="18"/>
        <v>1.7348859806969242E-4</v>
      </c>
      <c r="M93" s="107" t="e">
        <f>Toolbox!V83/SUM(Toolbox!V$12:V$108)</f>
        <v>#DIV/0!</v>
      </c>
      <c r="N93" s="108">
        <f t="shared" si="19"/>
        <v>1.0533728943359074E-2</v>
      </c>
    </row>
    <row r="94" spans="1:14">
      <c r="A94" s="103">
        <v>660</v>
      </c>
      <c r="B94" s="110">
        <f t="shared" si="12"/>
        <v>2.411506337880463E-4</v>
      </c>
      <c r="C94" s="111">
        <f t="shared" si="17"/>
        <v>6.6000000000000003E-7</v>
      </c>
      <c r="D94" s="111">
        <f t="shared" si="13"/>
        <v>7.6329309904921869</v>
      </c>
      <c r="E94" s="112">
        <f t="shared" si="14"/>
        <v>460763701812.38257</v>
      </c>
      <c r="F94" s="120">
        <v>1.786763087678785E-2</v>
      </c>
      <c r="G94" s="120">
        <f t="shared" si="15"/>
        <v>1.7866659126987733E-2</v>
      </c>
      <c r="H94" s="120">
        <v>1.0546074281677155E-2</v>
      </c>
      <c r="I94" s="120">
        <f t="shared" si="16"/>
        <v>1.0309278350515464E-2</v>
      </c>
      <c r="J94" s="120">
        <v>4.1745219499057327E-3</v>
      </c>
      <c r="K94" s="120">
        <v>1.0495803166496549E-2</v>
      </c>
      <c r="L94" s="120">
        <f t="shared" si="18"/>
        <v>3.7757649193756395E-5</v>
      </c>
      <c r="M94" s="107" t="e">
        <f>Toolbox!V84/SUM(Toolbox!V$12:V$108)</f>
        <v>#DIV/0!</v>
      </c>
      <c r="N94" s="108">
        <f t="shared" si="19"/>
        <v>1.0546074281677155E-2</v>
      </c>
    </row>
    <row r="95" spans="1:14">
      <c r="A95" s="103">
        <v>665</v>
      </c>
      <c r="B95" s="110">
        <f t="shared" si="12"/>
        <v>4.4991126015963835E-5</v>
      </c>
      <c r="C95" s="111">
        <f t="shared" si="17"/>
        <v>6.6499999999999999E-7</v>
      </c>
      <c r="D95" s="111">
        <f t="shared" si="13"/>
        <v>7.5755405319170581</v>
      </c>
      <c r="E95" s="112">
        <f t="shared" si="14"/>
        <v>469922779608.19946</v>
      </c>
      <c r="F95" s="120">
        <v>1.822298230470324E-2</v>
      </c>
      <c r="G95" s="120">
        <f t="shared" si="15"/>
        <v>1.8221813233640985E-2</v>
      </c>
      <c r="H95" s="120">
        <v>1.0681702087949057E-2</v>
      </c>
      <c r="I95" s="120">
        <f t="shared" si="16"/>
        <v>1.0309278350515464E-2</v>
      </c>
      <c r="J95" s="120">
        <v>3.6022084567734957E-3</v>
      </c>
      <c r="K95" s="120">
        <v>9.4461984602870891E-3</v>
      </c>
      <c r="L95" s="120">
        <f t="shared" si="18"/>
        <v>7.0443901650116912E-6</v>
      </c>
      <c r="M95" s="107" t="e">
        <f>Toolbox!V85/SUM(Toolbox!V$12:V$108)</f>
        <v>#DIV/0!</v>
      </c>
      <c r="N95" s="108">
        <f t="shared" si="19"/>
        <v>1.0681702087949057E-2</v>
      </c>
    </row>
    <row r="96" spans="1:14">
      <c r="A96" s="103">
        <v>670</v>
      </c>
      <c r="B96" s="110">
        <f t="shared" si="12"/>
        <v>7.1956455609434764E-6</v>
      </c>
      <c r="C96" s="111">
        <f t="shared" si="17"/>
        <v>6.7000000000000004E-7</v>
      </c>
      <c r="D96" s="111">
        <f t="shared" si="13"/>
        <v>7.5190066473505128</v>
      </c>
      <c r="E96" s="112">
        <f t="shared" si="14"/>
        <v>478989536351.29279</v>
      </c>
      <c r="F96" s="120">
        <v>1.8574800999124737E-2</v>
      </c>
      <c r="G96" s="120">
        <f t="shared" si="15"/>
        <v>1.8573387481957377E-2</v>
      </c>
      <c r="H96" s="120">
        <v>1.081732989422096E-2</v>
      </c>
      <c r="I96" s="120">
        <f t="shared" si="16"/>
        <v>1.0309278350515464E-2</v>
      </c>
      <c r="J96" s="120">
        <v>2.5922434688930764E-3</v>
      </c>
      <c r="K96" s="120">
        <v>8.5015908090382824E-3</v>
      </c>
      <c r="L96" s="120">
        <f t="shared" si="18"/>
        <v>1.1266429473766607E-6</v>
      </c>
      <c r="M96" s="107" t="e">
        <f>Toolbox!V86/SUM(Toolbox!V$12:V$108)</f>
        <v>#DIV/0!</v>
      </c>
      <c r="N96" s="108">
        <f t="shared" si="19"/>
        <v>1.081732989422096E-2</v>
      </c>
    </row>
    <row r="97" spans="1:14">
      <c r="A97" s="103">
        <v>675</v>
      </c>
      <c r="B97" s="110">
        <f t="shared" si="12"/>
        <v>9.8654547453394627E-7</v>
      </c>
      <c r="C97" s="111">
        <f t="shared" si="17"/>
        <v>6.75E-7</v>
      </c>
      <c r="D97" s="111">
        <f t="shared" si="13"/>
        <v>7.4633103018145839</v>
      </c>
      <c r="E97" s="112">
        <f t="shared" si="14"/>
        <v>487958960615.29272</v>
      </c>
      <c r="F97" s="120">
        <v>1.892277524827346E-2</v>
      </c>
      <c r="G97" s="120">
        <f t="shared" si="15"/>
        <v>1.892118754793452E-2</v>
      </c>
      <c r="H97" s="120">
        <v>1.0554804105578333E-2</v>
      </c>
      <c r="I97" s="120">
        <f t="shared" si="16"/>
        <v>1.0309278350515464E-2</v>
      </c>
      <c r="J97" s="120">
        <v>2.2387557231349294E-3</v>
      </c>
      <c r="K97" s="120">
        <v>7.6513707542349403E-3</v>
      </c>
      <c r="L97" s="120">
        <f t="shared" si="18"/>
        <v>1.5446626598493776E-7</v>
      </c>
      <c r="M97" s="107" t="e">
        <f>Toolbox!V87/SUM(Toolbox!V$12:V$108)</f>
        <v>#DIV/0!</v>
      </c>
      <c r="N97" s="108">
        <f t="shared" si="19"/>
        <v>1.0554804105578333E-2</v>
      </c>
    </row>
    <row r="98" spans="1:14">
      <c r="A98" s="103">
        <v>680</v>
      </c>
      <c r="B98" s="110">
        <f t="shared" si="12"/>
        <v>1.1594950525907111E-7</v>
      </c>
      <c r="C98" s="111">
        <f t="shared" si="17"/>
        <v>6.7999999999999995E-7</v>
      </c>
      <c r="D98" s="111">
        <f t="shared" si="13"/>
        <v>7.4084330201835948</v>
      </c>
      <c r="E98" s="112">
        <f t="shared" si="14"/>
        <v>496826283823.51563</v>
      </c>
      <c r="F98" s="120">
        <v>1.9266801148223128E-2</v>
      </c>
      <c r="G98" s="120">
        <f t="shared" si="15"/>
        <v>1.9265028524354699E-2</v>
      </c>
      <c r="H98" s="120">
        <v>1.0292278316935704E-2</v>
      </c>
      <c r="I98" s="120">
        <f t="shared" si="16"/>
        <v>1.0309278350515464E-2</v>
      </c>
      <c r="J98" s="120">
        <v>2.4575814705090201E-3</v>
      </c>
      <c r="K98" s="120">
        <v>6.8862702631511544E-3</v>
      </c>
      <c r="L98" s="120">
        <f t="shared" si="18"/>
        <v>1.8154547947858777E-8</v>
      </c>
      <c r="M98" s="107" t="e">
        <f>Toolbox!V88/SUM(Toolbox!V$12:V$108)</f>
        <v>#DIV/0!</v>
      </c>
      <c r="N98" s="108">
        <f t="shared" si="19"/>
        <v>1.0292278316935704E-2</v>
      </c>
    </row>
    <row r="99" spans="1:14">
      <c r="A99" s="103">
        <v>685</v>
      </c>
      <c r="B99" s="110">
        <f t="shared" si="12"/>
        <v>1.1682213432554383E-8</v>
      </c>
      <c r="C99" s="111">
        <f t="shared" si="17"/>
        <v>6.8500000000000001E-7</v>
      </c>
      <c r="D99" s="111">
        <f t="shared" si="13"/>
        <v>7.3543568667515968</v>
      </c>
      <c r="E99" s="112">
        <f t="shared" si="14"/>
        <v>505586978759.47888</v>
      </c>
      <c r="F99" s="120">
        <v>1.9606774795047445E-2</v>
      </c>
      <c r="G99" s="120">
        <f t="shared" si="15"/>
        <v>1.9604734863028307E-2</v>
      </c>
      <c r="H99" s="120">
        <v>9.7293755905367603E-3</v>
      </c>
      <c r="I99" s="120">
        <f t="shared" si="16"/>
        <v>1.0309278350515464E-2</v>
      </c>
      <c r="J99" s="120">
        <v>3.2655534608133558E-3</v>
      </c>
      <c r="K99" s="120">
        <v>6.1976310420561367E-3</v>
      </c>
      <c r="L99" s="120">
        <f t="shared" si="18"/>
        <v>1.8291177993779001E-9</v>
      </c>
      <c r="M99" s="107" t="e">
        <f>Toolbox!V89/SUM(Toolbox!V$12:V$108)</f>
        <v>#DIV/0!</v>
      </c>
      <c r="N99" s="108">
        <f t="shared" si="19"/>
        <v>9.7293755905367603E-3</v>
      </c>
    </row>
    <row r="100" spans="1:14">
      <c r="A100" s="103">
        <v>690</v>
      </c>
      <c r="B100" s="110">
        <f t="shared" si="12"/>
        <v>1.0089875755612194E-9</v>
      </c>
      <c r="C100" s="111">
        <f t="shared" si="17"/>
        <v>6.8999999999999996E-7</v>
      </c>
      <c r="D100" s="111">
        <f t="shared" si="13"/>
        <v>7.3010644256881809</v>
      </c>
      <c r="E100" s="112">
        <f t="shared" si="14"/>
        <v>514236757575.2215</v>
      </c>
      <c r="F100" s="120">
        <v>1.9942384476967539E-2</v>
      </c>
      <c r="G100" s="120">
        <f t="shared" si="15"/>
        <v>1.9940140297564125E-2</v>
      </c>
      <c r="H100" s="120">
        <v>9.1664860114629675E-3</v>
      </c>
      <c r="I100" s="120">
        <f t="shared" si="16"/>
        <v>1.0309278350515464E-2</v>
      </c>
      <c r="J100" s="120">
        <v>3.3665499596013978E-3</v>
      </c>
      <c r="K100" s="120">
        <v>5.5778923274103281E-3</v>
      </c>
      <c r="L100" s="120">
        <f t="shared" si="18"/>
        <v>1.5798009037116511E-10</v>
      </c>
      <c r="M100" s="107" t="e">
        <f>Toolbox!V90/SUM(Toolbox!V$12:V$108)</f>
        <v>#DIV/0!</v>
      </c>
      <c r="N100" s="108">
        <f t="shared" si="19"/>
        <v>9.1664860114629675E-3</v>
      </c>
    </row>
    <row r="101" spans="1:14">
      <c r="A101" s="103">
        <v>695</v>
      </c>
      <c r="B101" s="110">
        <f t="shared" si="12"/>
        <v>7.4705219452904048E-11</v>
      </c>
      <c r="C101" s="111">
        <f t="shared" si="17"/>
        <v>6.9500000000000002E-7</v>
      </c>
      <c r="D101" s="111">
        <f t="shared" si="13"/>
        <v>7.2485387823379055</v>
      </c>
      <c r="E101" s="112">
        <f t="shared" si="14"/>
        <v>522771569337.97302</v>
      </c>
      <c r="F101" s="120">
        <v>2.0273526290057114E-2</v>
      </c>
      <c r="G101" s="120">
        <f t="shared" si="15"/>
        <v>2.0271087748238478E-2</v>
      </c>
      <c r="H101" s="120">
        <v>9.2905836135762383E-3</v>
      </c>
      <c r="I101" s="120">
        <f t="shared" si="16"/>
        <v>1.0309278350515464E-2</v>
      </c>
      <c r="J101" s="120">
        <v>2.0199299757608386E-3</v>
      </c>
      <c r="K101" s="120">
        <v>5.0201030946692956E-3</v>
      </c>
      <c r="L101" s="120">
        <f t="shared" si="18"/>
        <v>1.1696811344582738E-11</v>
      </c>
      <c r="M101" s="107" t="e">
        <f>Toolbox!V91/SUM(Toolbox!V$12:V$108)</f>
        <v>#DIV/0!</v>
      </c>
      <c r="N101" s="108">
        <f t="shared" si="19"/>
        <v>9.2905836135762383E-3</v>
      </c>
    </row>
    <row r="102" spans="1:14">
      <c r="A102" s="103">
        <v>700</v>
      </c>
      <c r="B102" s="110">
        <f t="shared" si="12"/>
        <v>4.7415520097497643E-12</v>
      </c>
      <c r="C102" s="111">
        <f t="shared" si="17"/>
        <v>6.9999999999999997E-7</v>
      </c>
      <c r="D102" s="111">
        <f t="shared" si="13"/>
        <v>7.1967635053212051</v>
      </c>
      <c r="E102" s="112">
        <f t="shared" si="14"/>
        <v>531187597154.2373</v>
      </c>
      <c r="F102" s="120">
        <v>2.0600096330389884E-2</v>
      </c>
      <c r="G102" s="120">
        <f>E102/SUM(E$22:E$118)</f>
        <v>2.0597429210478201E-2</v>
      </c>
      <c r="H102" s="120">
        <v>9.4146812156895073E-3</v>
      </c>
      <c r="I102" s="120">
        <f t="shared" si="16"/>
        <v>1.0309278350515464E-2</v>
      </c>
      <c r="J102" s="120">
        <v>2.2724212227309437E-3</v>
      </c>
      <c r="K102" s="120">
        <v>4.5180440060827555E-3</v>
      </c>
      <c r="L102" s="120">
        <f t="shared" si="18"/>
        <v>7.4239845280869678E-13</v>
      </c>
      <c r="M102" s="107" t="e">
        <f>Toolbox!V92/SUM(Toolbox!V$12:V$108)</f>
        <v>#DIV/0!</v>
      </c>
      <c r="N102" s="108">
        <f t="shared" si="19"/>
        <v>9.4146812156895073E-3</v>
      </c>
    </row>
    <row r="103" spans="1:14">
      <c r="A103" s="109">
        <v>705</v>
      </c>
      <c r="B103" s="110">
        <f t="shared" ref="B103:B118" si="20">EXP(-(((A103-$C$15)/($C$16/2))^2*LN(2)))</f>
        <v>2.579850483115967E-13</v>
      </c>
      <c r="C103" s="111">
        <f t="shared" ref="C103:C118" si="21">A103/1000000000</f>
        <v>7.0500000000000003E-7</v>
      </c>
      <c r="D103" s="111">
        <f t="shared" ref="D103:D118" si="22">$H$15*H$16/($H$17*$C103*$H$18)</f>
        <v>7.1457226293969409</v>
      </c>
      <c r="E103" s="112">
        <f t="shared" ref="E103:E118" si="23">(2*H$15*(H$16^2))/((C103^5))*(1/(EXP(D103)-1))</f>
        <v>539481254908.86707</v>
      </c>
      <c r="F103" s="120">
        <v>2.092199069403956E-2</v>
      </c>
      <c r="G103" s="120">
        <f t="shared" ref="G103:G118" si="24">E103/SUM(E$22:E$118)</f>
        <v>2.0919025628414363E-2</v>
      </c>
      <c r="H103" s="120">
        <v>9.594786422951895E-3</v>
      </c>
      <c r="I103" s="120">
        <f t="shared" si="16"/>
        <v>1.0309278350515464E-2</v>
      </c>
      <c r="J103" s="120">
        <v>6.9014274171828646E-3</v>
      </c>
      <c r="K103" s="120">
        <v>4.0662274106945777E-3</v>
      </c>
      <c r="L103" s="120">
        <f t="shared" si="18"/>
        <v>4.0393461955174077E-14</v>
      </c>
      <c r="M103" s="107" t="e">
        <f>Toolbox!V93/SUM(Toolbox!V$12:V$108)</f>
        <v>#DIV/0!</v>
      </c>
      <c r="N103" s="108">
        <f t="shared" si="19"/>
        <v>9.594786422951895E-3</v>
      </c>
    </row>
    <row r="104" spans="1:14">
      <c r="A104" s="109">
        <v>710</v>
      </c>
      <c r="B104" s="110">
        <f t="shared" si="20"/>
        <v>1.2032974614762301E-14</v>
      </c>
      <c r="C104" s="111">
        <f t="shared" si="21"/>
        <v>7.0999999999999998E-7</v>
      </c>
      <c r="D104" s="111">
        <f t="shared" si="22"/>
        <v>7.0954006390490756</v>
      </c>
      <c r="E104" s="112">
        <f t="shared" si="23"/>
        <v>547649183655.14624</v>
      </c>
      <c r="F104" s="120">
        <v>2.123889766922726E-2</v>
      </c>
      <c r="G104" s="120">
        <f t="shared" si="24"/>
        <v>2.1235746754903442E-2</v>
      </c>
      <c r="H104" s="120">
        <v>9.7749047775394365E-3</v>
      </c>
      <c r="I104" s="120">
        <f t="shared" si="16"/>
        <v>1.0309278350515464E-2</v>
      </c>
      <c r="J104" s="120">
        <v>9.3926743872878998E-3</v>
      </c>
      <c r="K104" s="120">
        <v>3.6596534487447294E-3</v>
      </c>
      <c r="L104" s="120">
        <f t="shared" si="18"/>
        <v>1.8840374877923801E-15</v>
      </c>
      <c r="M104" s="107" t="e">
        <f>Toolbox!V94/SUM(Toolbox!V$12:V$108)</f>
        <v>#DIV/0!</v>
      </c>
      <c r="N104" s="108">
        <f t="shared" si="19"/>
        <v>9.7749047775394365E-3</v>
      </c>
    </row>
    <row r="105" spans="1:14">
      <c r="A105" s="109">
        <v>715</v>
      </c>
      <c r="B105" s="110">
        <f t="shared" si="20"/>
        <v>4.8112276819287094E-16</v>
      </c>
      <c r="C105" s="111">
        <f t="shared" si="21"/>
        <v>7.1500000000000004E-7</v>
      </c>
      <c r="D105" s="111">
        <f t="shared" si="22"/>
        <v>7.0457824527620199</v>
      </c>
      <c r="E105" s="112">
        <f t="shared" si="23"/>
        <v>555688247690.30359</v>
      </c>
      <c r="F105" s="120">
        <v>2.1550817255952991E-2</v>
      </c>
      <c r="G105" s="120">
        <f t="shared" si="24"/>
        <v>2.1547470999350692E-2</v>
      </c>
      <c r="H105" s="120">
        <v>8.9370914822043263E-3</v>
      </c>
      <c r="I105" s="120">
        <f t="shared" si="16"/>
        <v>1.0309278350515464E-2</v>
      </c>
      <c r="J105" s="120">
        <v>4.2250201992997541E-3</v>
      </c>
      <c r="K105" s="120">
        <v>3.2936881038702565E-3</v>
      </c>
      <c r="L105" s="120">
        <f t="shared" si="18"/>
        <v>7.5330777345258959E-17</v>
      </c>
      <c r="M105" s="107" t="e">
        <f>Toolbox!V95/SUM(Toolbox!V$12:V$108)</f>
        <v>#DIV/0!</v>
      </c>
      <c r="N105" s="108">
        <f t="shared" si="19"/>
        <v>8.9370914822043263E-3</v>
      </c>
    </row>
    <row r="106" spans="1:14">
      <c r="A106" s="109">
        <v>720</v>
      </c>
      <c r="B106" s="110">
        <f t="shared" si="20"/>
        <v>1.6490858451680308E-17</v>
      </c>
      <c r="C106" s="111">
        <f t="shared" si="21"/>
        <v>7.1999999999999999E-7</v>
      </c>
      <c r="D106" s="111">
        <f t="shared" si="22"/>
        <v>6.9968534079511722</v>
      </c>
      <c r="E106" s="112">
        <f t="shared" si="23"/>
        <v>563595530349.32031</v>
      </c>
      <c r="F106" s="120">
        <v>2.1857749454216757E-2</v>
      </c>
      <c r="G106" s="120">
        <f t="shared" si="24"/>
        <v>2.1854085264610065E-2</v>
      </c>
      <c r="H106" s="120">
        <v>8.099278186869216E-3</v>
      </c>
      <c r="I106" s="120">
        <f t="shared" si="16"/>
        <v>1.0309278350515464E-2</v>
      </c>
      <c r="J106" s="120">
        <v>9.594667384863983E-4</v>
      </c>
      <c r="K106" s="120">
        <v>2.9643070987033287E-3</v>
      </c>
      <c r="L106" s="120">
        <f t="shared" si="18"/>
        <v>2.5820211978779488E-18</v>
      </c>
      <c r="M106" s="107" t="e">
        <f>Toolbox!V96/SUM(Toolbox!V$12:V$108)</f>
        <v>#DIV/0!</v>
      </c>
      <c r="N106" s="108">
        <f t="shared" si="19"/>
        <v>8.099278186869216E-3</v>
      </c>
    </row>
    <row r="107" spans="1:14">
      <c r="A107" s="109">
        <v>725</v>
      </c>
      <c r="B107" s="110">
        <f t="shared" si="20"/>
        <v>4.845460569552071E-19</v>
      </c>
      <c r="C107" s="111">
        <f t="shared" si="21"/>
        <v>7.2500000000000005E-7</v>
      </c>
      <c r="D107" s="111">
        <f t="shared" si="22"/>
        <v>6.9485992465170252</v>
      </c>
      <c r="E107" s="112">
        <f t="shared" si="23"/>
        <v>571368329548.26929</v>
      </c>
      <c r="F107" s="120">
        <v>2.2159382552239672E-2</v>
      </c>
      <c r="G107" s="120">
        <f t="shared" si="24"/>
        <v>2.2155484774171893E-2</v>
      </c>
      <c r="H107" s="120">
        <v>8.6436826267787675E-3</v>
      </c>
      <c r="I107" s="120">
        <f t="shared" si="16"/>
        <v>1.0309278350515464E-2</v>
      </c>
      <c r="J107" s="120">
        <v>4.544842445461887E-4</v>
      </c>
      <c r="K107" s="120">
        <v>2.6678519992731908E-3</v>
      </c>
      <c r="L107" s="120">
        <f t="shared" si="18"/>
        <v>7.5866771525107657E-20</v>
      </c>
      <c r="M107" s="107" t="e">
        <f>Toolbox!V97/SUM(Toolbox!V$12:V$108)</f>
        <v>#DIV/0!</v>
      </c>
      <c r="N107" s="108">
        <f t="shared" si="19"/>
        <v>8.6436826267787675E-3</v>
      </c>
    </row>
    <row r="108" spans="1:14">
      <c r="A108" s="109">
        <v>730</v>
      </c>
      <c r="B108" s="110">
        <f t="shared" si="20"/>
        <v>1.2204818042573248E-20</v>
      </c>
      <c r="C108" s="111">
        <f t="shared" si="21"/>
        <v>7.3E-7</v>
      </c>
      <c r="D108" s="111">
        <f t="shared" si="22"/>
        <v>6.9010061009929364</v>
      </c>
      <c r="E108" s="112">
        <f t="shared" si="23"/>
        <v>579004153106.86267</v>
      </c>
      <c r="F108" s="120">
        <v>2.2455716550021747E-2</v>
      </c>
      <c r="G108" s="120">
        <f t="shared" si="24"/>
        <v>2.2451572890789119E-2</v>
      </c>
      <c r="H108" s="120">
        <v>9.1880870666883208E-3</v>
      </c>
      <c r="I108" s="120">
        <f t="shared" si="16"/>
        <v>1.0309278350515464E-2</v>
      </c>
      <c r="J108" s="120">
        <v>3.8715324535416076E-4</v>
      </c>
      <c r="K108" s="120">
        <v>2.4011521628051892E-3</v>
      </c>
      <c r="L108" s="120">
        <f t="shared" si="18"/>
        <v>1.9109435081565692E-21</v>
      </c>
      <c r="M108" s="107" t="e">
        <f>Toolbox!V98/SUM(Toolbox!V$12:V$108)</f>
        <v>#DIV/0!</v>
      </c>
      <c r="N108" s="108">
        <f t="shared" si="19"/>
        <v>9.1880870666883208E-3</v>
      </c>
    </row>
    <row r="109" spans="1:14">
      <c r="A109" s="109">
        <v>735</v>
      </c>
      <c r="B109" s="110">
        <f t="shared" si="20"/>
        <v>2.6353117579210739E-22</v>
      </c>
      <c r="C109" s="111">
        <f t="shared" si="21"/>
        <v>7.3499999999999995E-7</v>
      </c>
      <c r="D109" s="111">
        <f t="shared" si="22"/>
        <v>6.8540604812582915</v>
      </c>
      <c r="E109" s="112">
        <f t="shared" si="23"/>
        <v>586500713878.28662</v>
      </c>
      <c r="F109" s="120">
        <v>2.2746647543636686E-2</v>
      </c>
      <c r="G109" s="120">
        <f t="shared" si="24"/>
        <v>2.2742260927630872E-2</v>
      </c>
      <c r="H109" s="120">
        <v>9.5300095519261427E-3</v>
      </c>
      <c r="I109" s="120">
        <f t="shared" si="16"/>
        <v>1.0309278350515464E-2</v>
      </c>
      <c r="J109" s="120">
        <v>3.5348774575814674E-4</v>
      </c>
      <c r="K109" s="120">
        <v>2.1610369465246706E-3</v>
      </c>
      <c r="L109" s="120">
        <f t="shared" si="18"/>
        <v>4.1261835106442798E-23</v>
      </c>
      <c r="M109" s="107" t="e">
        <f>Toolbox!V99/SUM(Toolbox!V$12:V$108)</f>
        <v>#DIV/0!</v>
      </c>
      <c r="N109" s="108">
        <f t="shared" si="19"/>
        <v>9.5300095519261427E-3</v>
      </c>
    </row>
    <row r="110" spans="1:14">
      <c r="A110" s="109">
        <v>740</v>
      </c>
      <c r="B110" s="110">
        <f t="shared" si="20"/>
        <v>4.8779476569076559E-24</v>
      </c>
      <c r="C110" s="111">
        <f t="shared" si="21"/>
        <v>7.4000000000000001E-7</v>
      </c>
      <c r="D110" s="111">
        <f t="shared" si="22"/>
        <v>6.8077492617903292</v>
      </c>
      <c r="E110" s="112">
        <f t="shared" si="23"/>
        <v>593855924712.85913</v>
      </c>
      <c r="F110" s="120">
        <v>2.3032071629158202E-2</v>
      </c>
      <c r="G110" s="120">
        <f t="shared" si="24"/>
        <v>2.3027467952992309E-2</v>
      </c>
      <c r="H110" s="120">
        <v>9.8719320371639645E-3</v>
      </c>
      <c r="I110" s="120">
        <f t="shared" si="16"/>
        <v>1.0309278350515464E-2</v>
      </c>
      <c r="J110" s="120">
        <v>4.0398599515216769E-4</v>
      </c>
      <c r="K110" s="120">
        <v>1.9449454466521059E-3</v>
      </c>
      <c r="L110" s="120">
        <f t="shared" si="18"/>
        <v>7.6375431207411131E-25</v>
      </c>
      <c r="M110" s="107" t="e">
        <f>Toolbox!V100/SUM(Toolbox!V$12:V$108)</f>
        <v>#DIV/0!</v>
      </c>
      <c r="N110" s="108">
        <f t="shared" si="19"/>
        <v>9.8719320371639645E-3</v>
      </c>
    </row>
    <row r="111" spans="1:14">
      <c r="A111" s="109">
        <v>745</v>
      </c>
      <c r="B111" s="110">
        <f t="shared" si="20"/>
        <v>7.7401025943863784E-26</v>
      </c>
      <c r="C111" s="111">
        <f t="shared" si="21"/>
        <v>7.4499999999999996E-7</v>
      </c>
      <c r="D111" s="111">
        <f t="shared" si="22"/>
        <v>6.7620596694293198</v>
      </c>
      <c r="E111" s="112">
        <f t="shared" si="23"/>
        <v>601067893280.51563</v>
      </c>
      <c r="F111" s="120">
        <v>2.331198880658629E-2</v>
      </c>
      <c r="G111" s="120">
        <f t="shared" si="24"/>
        <v>2.330712058953037E-2</v>
      </c>
      <c r="H111" s="120">
        <v>9.1163289660066565E-3</v>
      </c>
      <c r="I111" s="120">
        <f t="shared" si="16"/>
        <v>1.0309278350515464E-2</v>
      </c>
      <c r="J111" s="120">
        <v>4.0398599515216769E-4</v>
      </c>
      <c r="K111" s="120">
        <v>1.7504387072069928E-3</v>
      </c>
      <c r="L111" s="120">
        <f t="shared" si="18"/>
        <v>1.211890153021075E-26</v>
      </c>
      <c r="M111" s="107" t="e">
        <f>Toolbox!V101/SUM(Toolbox!V$12:V$108)</f>
        <v>#DIV/0!</v>
      </c>
      <c r="N111" s="108">
        <f t="shared" si="19"/>
        <v>9.1163289660066565E-3</v>
      </c>
    </row>
    <row r="112" spans="1:14">
      <c r="A112" s="109">
        <v>750</v>
      </c>
      <c r="B112" s="110">
        <f t="shared" si="20"/>
        <v>1.0528360427363847E-27</v>
      </c>
      <c r="C112" s="111">
        <f t="shared" si="21"/>
        <v>7.5000000000000002E-7</v>
      </c>
      <c r="D112" s="111">
        <f t="shared" si="22"/>
        <v>6.7169792716331251</v>
      </c>
      <c r="E112" s="112">
        <f t="shared" si="23"/>
        <v>608134916775.6366</v>
      </c>
      <c r="F112" s="120">
        <v>2.3586191268068372E-2</v>
      </c>
      <c r="G112" s="120">
        <f t="shared" si="24"/>
        <v>2.3581152808937168E-2</v>
      </c>
      <c r="H112" s="120">
        <v>8.3607390421745025E-3</v>
      </c>
      <c r="I112" s="120">
        <f t="shared" si="16"/>
        <v>1.0309278350515464E-2</v>
      </c>
      <c r="J112" s="120">
        <v>3.3665499596013981E-4</v>
      </c>
      <c r="K112" s="120">
        <v>1.5753216678068783E-3</v>
      </c>
      <c r="L112" s="120">
        <f t="shared" si="18"/>
        <v>1.6484557115086315E-28</v>
      </c>
      <c r="M112" s="107" t="e">
        <f>Toolbox!V102/SUM(Toolbox!V$12:V$108)</f>
        <v>#DIV/0!</v>
      </c>
      <c r="N112" s="108">
        <f t="shared" si="19"/>
        <v>8.3607390421745025E-3</v>
      </c>
    </row>
    <row r="113" spans="1:14">
      <c r="A113" s="109">
        <v>755</v>
      </c>
      <c r="B113" s="110">
        <f t="shared" si="20"/>
        <v>1.2276631396533459E-29</v>
      </c>
      <c r="C113" s="111">
        <f t="shared" si="21"/>
        <v>7.5499999999999997E-7</v>
      </c>
      <c r="D113" s="111">
        <f t="shared" si="22"/>
        <v>6.6724959651984692</v>
      </c>
      <c r="E113" s="112">
        <f t="shared" si="23"/>
        <v>615055476526.27429</v>
      </c>
      <c r="F113" s="120">
        <v>2.3854782917530737E-2</v>
      </c>
      <c r="G113" s="120">
        <f t="shared" si="24"/>
        <v>2.3849505722906381E-2</v>
      </c>
      <c r="H113" s="120">
        <v>7.2317387893645873E-3</v>
      </c>
      <c r="I113" s="120">
        <f t="shared" si="16"/>
        <v>1.0309278350515464E-2</v>
      </c>
      <c r="J113" s="120">
        <v>4.0398599515216769E-4</v>
      </c>
      <c r="K113" s="120">
        <v>1.4177651114663855E-3</v>
      </c>
      <c r="L113" s="120">
        <f t="shared" si="18"/>
        <v>1.9221875317930153E-30</v>
      </c>
      <c r="M113" s="107" t="e">
        <f>Toolbox!V103/SUM(Toolbox!V$12:V$108)</f>
        <v>#DIV/0!</v>
      </c>
      <c r="N113" s="108">
        <f t="shared" si="19"/>
        <v>7.2317387893645873E-3</v>
      </c>
    </row>
    <row r="114" spans="1:14">
      <c r="A114" s="109">
        <v>760</v>
      </c>
      <c r="B114" s="110">
        <f t="shared" si="20"/>
        <v>1.227162665650765E-31</v>
      </c>
      <c r="C114" s="111">
        <f t="shared" si="21"/>
        <v>7.6000000000000003E-7</v>
      </c>
      <c r="D114" s="111">
        <f t="shared" si="22"/>
        <v>6.6285979654274261</v>
      </c>
      <c r="E114" s="112">
        <f t="shared" si="23"/>
        <v>621828232528.39502</v>
      </c>
      <c r="F114" s="120">
        <v>2.4117659851047094E-2</v>
      </c>
      <c r="G114" s="120">
        <f t="shared" si="24"/>
        <v>2.4112127371192001E-2</v>
      </c>
      <c r="H114" s="120">
        <v>6.1027516838798234E-3</v>
      </c>
      <c r="I114" s="120">
        <f t="shared" si="16"/>
        <v>1.0309278350515464E-2</v>
      </c>
      <c r="J114" s="120">
        <v>5.3864799353622362E-4</v>
      </c>
      <c r="K114" s="120">
        <v>1.2760617689991619E-3</v>
      </c>
      <c r="L114" s="120">
        <f t="shared" si="18"/>
        <v>1.9214039252346079E-32</v>
      </c>
      <c r="M114" s="107" t="e">
        <f>Toolbox!V104/SUM(Toolbox!V$12:V$108)</f>
        <v>#DIV/0!</v>
      </c>
      <c r="N114" s="108">
        <f t="shared" si="19"/>
        <v>6.1027516838798234E-3</v>
      </c>
    </row>
    <row r="115" spans="1:14">
      <c r="A115" s="109">
        <v>765</v>
      </c>
      <c r="B115" s="110">
        <f t="shared" si="20"/>
        <v>1.0515489576831202E-33</v>
      </c>
      <c r="C115" s="111">
        <f t="shared" si="21"/>
        <v>7.6499999999999998E-7</v>
      </c>
      <c r="D115" s="111">
        <f t="shared" si="22"/>
        <v>6.5852737957187495</v>
      </c>
      <c r="E115" s="112">
        <f t="shared" si="23"/>
        <v>628452017924.42065</v>
      </c>
      <c r="F115" s="120">
        <v>2.4374718164691153E-2</v>
      </c>
      <c r="G115" s="120">
        <f t="shared" si="24"/>
        <v>2.4368972507507226E-2</v>
      </c>
      <c r="H115" s="120">
        <v>7.442937420612342E-3</v>
      </c>
      <c r="I115" s="120">
        <f t="shared" si="16"/>
        <v>1.0309278350515464E-2</v>
      </c>
      <c r="J115" s="120">
        <v>4.3765149474818171E-4</v>
      </c>
      <c r="K115" s="120">
        <v>1.1483824234198308E-3</v>
      </c>
      <c r="L115" s="120">
        <f t="shared" si="18"/>
        <v>1.6464404853754751E-34</v>
      </c>
      <c r="M115" s="107" t="e">
        <f>Toolbox!V105/SUM(Toolbox!V$12:V$108)</f>
        <v>#DIV/0!</v>
      </c>
      <c r="N115" s="108">
        <f t="shared" si="19"/>
        <v>7.442937420612342E-3</v>
      </c>
    </row>
    <row r="116" spans="1:14">
      <c r="A116" s="109">
        <v>770</v>
      </c>
      <c r="B116" s="110">
        <f t="shared" si="20"/>
        <v>7.7243386484951484E-36</v>
      </c>
      <c r="C116" s="111">
        <f t="shared" si="21"/>
        <v>7.7000000000000004E-7</v>
      </c>
      <c r="D116" s="111">
        <f t="shared" si="22"/>
        <v>6.5425122775647315</v>
      </c>
      <c r="E116" s="112">
        <f t="shared" si="23"/>
        <v>634925833443.97986</v>
      </c>
      <c r="F116" s="120">
        <v>2.4626061762389205E-2</v>
      </c>
      <c r="G116" s="120">
        <f t="shared" si="24"/>
        <v>2.462000238395801E-2</v>
      </c>
      <c r="H116" s="120">
        <v>8.7831231573448614E-3</v>
      </c>
      <c r="I116" s="120">
        <f t="shared" si="16"/>
        <v>1.0309278350515464E-2</v>
      </c>
      <c r="J116" s="120">
        <v>2.6932399676811181E-4</v>
      </c>
      <c r="K116" s="120">
        <v>1.0336295445371652E-3</v>
      </c>
      <c r="L116" s="120">
        <f t="shared" si="18"/>
        <v>1.2094219466161373E-36</v>
      </c>
      <c r="M116" s="107" t="e">
        <f>Toolbox!V106/SUM(Toolbox!V$12:V$108)</f>
        <v>#DIV/0!</v>
      </c>
      <c r="N116" s="108">
        <f t="shared" si="19"/>
        <v>8.7831231573448614E-3</v>
      </c>
    </row>
    <row r="117" spans="1:14">
      <c r="A117" s="109">
        <v>775</v>
      </c>
      <c r="B117" s="110">
        <f t="shared" si="20"/>
        <v>4.8640447255159533E-38</v>
      </c>
      <c r="C117" s="111">
        <f t="shared" si="21"/>
        <v>7.7499999999999999E-7</v>
      </c>
      <c r="D117" s="111">
        <f t="shared" si="22"/>
        <v>6.500302520935282</v>
      </c>
      <c r="E117" s="112">
        <f t="shared" si="23"/>
        <v>641248841823.53418</v>
      </c>
      <c r="F117" s="120">
        <v>2.4871482836288664E-2</v>
      </c>
      <c r="G117" s="120">
        <f t="shared" si="24"/>
        <v>2.4865184534657424E-2</v>
      </c>
      <c r="H117" s="120">
        <v>8.5581329820122627E-3</v>
      </c>
      <c r="I117" s="120">
        <f t="shared" si="16"/>
        <v>1.0309278350515464E-2</v>
      </c>
      <c r="J117" s="120">
        <v>2.0199299757608385E-4</v>
      </c>
      <c r="K117" s="120">
        <v>9.3021781096383873E-4</v>
      </c>
      <c r="L117" s="120">
        <f t="shared" si="18"/>
        <v>7.6157749006868323E-39</v>
      </c>
      <c r="M117" s="107" t="e">
        <f>Toolbox!V107/SUM(Toolbox!V$12:V$108)</f>
        <v>#DIV/0!</v>
      </c>
      <c r="N117" s="108">
        <f t="shared" si="19"/>
        <v>8.5581329820122627E-3</v>
      </c>
    </row>
    <row r="118" spans="1:14">
      <c r="A118" s="118">
        <v>780</v>
      </c>
      <c r="B118" s="113">
        <f t="shared" si="20"/>
        <v>2.6256586152069394E-40</v>
      </c>
      <c r="C118" s="114">
        <f t="shared" si="21"/>
        <v>7.8000000000000005E-7</v>
      </c>
      <c r="D118" s="114">
        <f t="shared" si="22"/>
        <v>6.4586339150318501</v>
      </c>
      <c r="E118" s="115">
        <f t="shared" si="23"/>
        <v>647420362220.28076</v>
      </c>
      <c r="F118" s="121">
        <v>2.5110981386389536E-2</v>
      </c>
      <c r="G118" s="121">
        <f t="shared" si="24"/>
        <v>2.5104492559118129E-2</v>
      </c>
      <c r="H118" s="121">
        <v>8.3331428066796675E-3</v>
      </c>
      <c r="I118" s="121">
        <f t="shared" si="16"/>
        <v>1.0309278350515464E-2</v>
      </c>
      <c r="J118" s="121">
        <v>1.5149474818206289E-4</v>
      </c>
      <c r="K118" s="121">
        <v>8.3717164030764973E-4</v>
      </c>
      <c r="L118" s="121">
        <f t="shared" si="18"/>
        <v>4.1110693071071697E-41</v>
      </c>
      <c r="M118" s="116" t="e">
        <f>Toolbox!V108/SUM(Toolbox!V$12:V$108)</f>
        <v>#DIV/0!</v>
      </c>
      <c r="N118" s="117">
        <f t="shared" si="19"/>
        <v>8.3331428066796675E-3</v>
      </c>
    </row>
  </sheetData>
  <phoneticPr fontId="0" type="noConversion"/>
  <pageMargins left="0.70866141732283472" right="0.70866141732283472" top="0.74803149606299213" bottom="0.74803149606299213" header="0.31496062992125984" footer="0.31496062992125984"/>
  <pageSetup paperSize="9" scale="4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INPUT</vt:lpstr>
      <vt:lpstr>Toolbox</vt:lpstr>
      <vt:lpstr>Calculations</vt:lpstr>
      <vt:lpstr>SPD</vt:lpstr>
      <vt:lpstr>Calculations!Print_Area</vt:lpstr>
      <vt:lpstr>SPD!Print_Area</vt:lpstr>
      <vt:lpstr>Toolbox!Print_Area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speirson</dc:creator>
  <cp:lastModifiedBy>stuart peirson</cp:lastModifiedBy>
  <cp:lastPrinted>2014-02-12T12:21:03Z</cp:lastPrinted>
  <dcterms:created xsi:type="dcterms:W3CDTF">2009-09-10T14:18:17Z</dcterms:created>
  <dcterms:modified xsi:type="dcterms:W3CDTF">2023-08-31T16:51:21Z</dcterms:modified>
</cp:coreProperties>
</file>